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00" windowHeight="7365" activeTab="2"/>
  </bookViews>
  <sheets>
    <sheet name="Házis.kiadás arányos feloszt." sheetId="5" r:id="rId1"/>
    <sheet name="Jelzőrendsz." sheetId="6" r:id="rId2"/>
    <sheet name="Tagok3." sheetId="7" r:id="rId3"/>
  </sheets>
  <definedNames>
    <definedName name="_xlnm.Print_Area" localSheetId="1">Jelzőrendsz.!$A$1:$M$13</definedName>
    <definedName name="_xlnm.Print_Area" localSheetId="2">Tagok3.!$A$1:$U$63</definedName>
  </definedNames>
  <calcPr calcId="125725"/>
</workbook>
</file>

<file path=xl/calcChain.xml><?xml version="1.0" encoding="utf-8"?>
<calcChain xmlns="http://schemas.openxmlformats.org/spreadsheetml/2006/main">
  <c r="T13" i="7"/>
  <c r="T12"/>
  <c r="M12" i="6"/>
  <c r="N12"/>
  <c r="M5"/>
  <c r="M6"/>
  <c r="M7"/>
  <c r="M8"/>
  <c r="M9"/>
  <c r="M10"/>
  <c r="M11"/>
  <c r="M13"/>
  <c r="M4"/>
  <c r="L5"/>
  <c r="L6"/>
  <c r="L7"/>
  <c r="L8"/>
  <c r="L9"/>
  <c r="L10"/>
  <c r="L11"/>
  <c r="L12"/>
  <c r="L4"/>
  <c r="K13"/>
  <c r="H12"/>
  <c r="H10"/>
  <c r="H9"/>
  <c r="H8"/>
  <c r="H7"/>
  <c r="H6"/>
  <c r="H5"/>
  <c r="H4"/>
  <c r="F12"/>
  <c r="F10"/>
  <c r="I37" i="7"/>
  <c r="R15" i="5"/>
  <c r="O15"/>
  <c r="K14"/>
  <c r="K13"/>
  <c r="K12"/>
  <c r="K11"/>
  <c r="K10"/>
  <c r="K9"/>
  <c r="P12"/>
  <c r="P15"/>
  <c r="P13"/>
  <c r="P11"/>
  <c r="H47"/>
  <c r="F45"/>
  <c r="D45"/>
  <c r="G44"/>
  <c r="F43"/>
  <c r="G42"/>
  <c r="E42"/>
  <c r="F33"/>
  <c r="H33"/>
  <c r="D33"/>
  <c r="H30"/>
  <c r="F31"/>
  <c r="H31"/>
  <c r="H25"/>
  <c r="D26"/>
  <c r="H23"/>
  <c r="F24"/>
  <c r="H24"/>
  <c r="H19"/>
  <c r="F18"/>
  <c r="D18"/>
  <c r="H9"/>
  <c r="D10"/>
  <c r="T9" i="7"/>
  <c r="S14"/>
  <c r="D14"/>
  <c r="D9"/>
  <c r="L37"/>
  <c r="K37"/>
  <c r="H37"/>
  <c r="F37"/>
  <c r="B37"/>
  <c r="B40"/>
  <c r="T8"/>
  <c r="S7"/>
  <c r="R7"/>
  <c r="R9"/>
  <c r="Q7"/>
  <c r="Q9"/>
  <c r="P7"/>
  <c r="O7"/>
  <c r="P9"/>
  <c r="P14"/>
  <c r="P37"/>
  <c r="N7"/>
  <c r="M7"/>
  <c r="N9"/>
  <c r="N14"/>
  <c r="N37"/>
  <c r="L7"/>
  <c r="K7"/>
  <c r="J7"/>
  <c r="L9"/>
  <c r="I7"/>
  <c r="H7"/>
  <c r="I9"/>
  <c r="G7"/>
  <c r="F7"/>
  <c r="E7"/>
  <c r="F9"/>
  <c r="D7"/>
  <c r="C7"/>
  <c r="T6"/>
  <c r="T5"/>
  <c r="T4"/>
  <c r="H34" i="5"/>
  <c r="H27"/>
  <c r="F26"/>
  <c r="H26"/>
  <c r="F10"/>
  <c r="T7" i="7"/>
  <c r="D33"/>
  <c r="D26"/>
  <c r="D19"/>
  <c r="D16"/>
  <c r="D27"/>
  <c r="D32"/>
  <c r="D29"/>
  <c r="D25"/>
  <c r="D18"/>
  <c r="D15"/>
  <c r="D13"/>
  <c r="D35"/>
  <c r="D31"/>
  <c r="D28"/>
  <c r="D24"/>
  <c r="D21"/>
  <c r="D12"/>
  <c r="D34"/>
  <c r="D23"/>
  <c r="D20"/>
  <c r="S9"/>
  <c r="S34"/>
  <c r="T34"/>
  <c r="S30"/>
  <c r="T30"/>
  <c r="S27"/>
  <c r="T27"/>
  <c r="S23"/>
  <c r="T23"/>
  <c r="S20"/>
  <c r="T20"/>
  <c r="S35"/>
  <c r="T35"/>
  <c r="S24"/>
  <c r="S21"/>
  <c r="T21"/>
  <c r="S36"/>
  <c r="T36"/>
  <c r="S33"/>
  <c r="T33"/>
  <c r="S26"/>
  <c r="T26"/>
  <c r="S22"/>
  <c r="T22"/>
  <c r="S19"/>
  <c r="T19"/>
  <c r="S16"/>
  <c r="T16"/>
  <c r="S32"/>
  <c r="T32"/>
  <c r="S29"/>
  <c r="T29"/>
  <c r="S25"/>
  <c r="T25"/>
  <c r="S18"/>
  <c r="T18"/>
  <c r="S15"/>
  <c r="T15"/>
  <c r="S13"/>
  <c r="S31"/>
  <c r="T31"/>
  <c r="S28"/>
  <c r="T28"/>
  <c r="S17"/>
  <c r="T17"/>
  <c r="T14"/>
  <c r="S12"/>
  <c r="D37"/>
  <c r="T24"/>
  <c r="S37"/>
  <c r="T37"/>
  <c r="K12" i="6"/>
  <c r="I13"/>
  <c r="K10"/>
  <c r="K9"/>
  <c r="F9"/>
  <c r="K8"/>
  <c r="F8"/>
  <c r="K7"/>
  <c r="F7"/>
  <c r="K6"/>
  <c r="F6"/>
  <c r="K5"/>
  <c r="F5"/>
  <c r="K4"/>
  <c r="F4"/>
  <c r="H45" i="5"/>
  <c r="H18"/>
  <c r="H10"/>
  <c r="N10"/>
  <c r="O10"/>
  <c r="N11"/>
  <c r="O11"/>
  <c r="N12"/>
  <c r="O12"/>
  <c r="N13"/>
  <c r="O13"/>
  <c r="N15"/>
  <c r="N9"/>
  <c r="O9"/>
  <c r="L14"/>
  <c r="N14"/>
  <c r="O14"/>
  <c r="K15"/>
  <c r="H43"/>
  <c r="H44"/>
  <c r="H42"/>
  <c r="H15"/>
  <c r="H7"/>
  <c r="F16"/>
  <c r="H16"/>
  <c r="H20"/>
  <c r="Q11"/>
  <c r="F8"/>
  <c r="H8"/>
  <c r="H12"/>
  <c r="P9"/>
  <c r="Q13"/>
  <c r="Q12"/>
  <c r="H46"/>
  <c r="P10"/>
  <c r="Q10"/>
  <c r="L13" i="6"/>
  <c r="Q9" i="5"/>
  <c r="H48"/>
  <c r="P14"/>
  <c r="Q14"/>
  <c r="Q15"/>
</calcChain>
</file>

<file path=xl/sharedStrings.xml><?xml version="1.0" encoding="utf-8"?>
<sst xmlns="http://schemas.openxmlformats.org/spreadsheetml/2006/main" count="355" uniqueCount="111">
  <si>
    <t>Feladatok</t>
  </si>
  <si>
    <t>Aparhant</t>
  </si>
  <si>
    <t>Bátaapáti</t>
  </si>
  <si>
    <t>Bonyhád</t>
  </si>
  <si>
    <t>Bonyhádvarasd</t>
  </si>
  <si>
    <t>Cikó</t>
  </si>
  <si>
    <t>Felsőnána</t>
  </si>
  <si>
    <t>Grábóc</t>
  </si>
  <si>
    <t>Györe</t>
  </si>
  <si>
    <t>Izmény</t>
  </si>
  <si>
    <t>Kakasd</t>
  </si>
  <si>
    <t>Kéty</t>
  </si>
  <si>
    <t>Kisdorog</t>
  </si>
  <si>
    <t>Kismányok</t>
  </si>
  <si>
    <t>Kisvejke</t>
  </si>
  <si>
    <t>Lengyel</t>
  </si>
  <si>
    <t>Mórágy</t>
  </si>
  <si>
    <t>Mőcsény</t>
  </si>
  <si>
    <t>Mucsfa</t>
  </si>
  <si>
    <t>Murga</t>
  </si>
  <si>
    <t>Nagymányok</t>
  </si>
  <si>
    <t>Nagyvejke</t>
  </si>
  <si>
    <t>Tevel</t>
  </si>
  <si>
    <t>Váralja</t>
  </si>
  <si>
    <t>Závod</t>
  </si>
  <si>
    <t>Zomba</t>
  </si>
  <si>
    <t>Összesen</t>
  </si>
  <si>
    <t xml:space="preserve">Támogató szolgálat. </t>
  </si>
  <si>
    <t>Hozzá-járulás összege</t>
  </si>
  <si>
    <t xml:space="preserve">Idősek Otthona </t>
  </si>
  <si>
    <t>Házi segítség-nyújtás</t>
  </si>
  <si>
    <t>Házi segítség-nyújtás - személyi gondozás- társulás általi feladat-ellátás</t>
  </si>
  <si>
    <t>Hozzá-járulás a házi segítség-nyújtáshoz összesen</t>
  </si>
  <si>
    <t xml:space="preserve">Jelzőrend-szeres házi segítség-nyújtás </t>
  </si>
  <si>
    <t>Ellátot-tak száma</t>
  </si>
  <si>
    <t xml:space="preserve">Étkeztetés és nappali ellátás </t>
  </si>
  <si>
    <t xml:space="preserve">Tanya-gondnoki szolgál-tatás </t>
  </si>
  <si>
    <t>Család és gyermek-jóléti szolgálat</t>
  </si>
  <si>
    <t>Család és gyermek-jóléti központ</t>
  </si>
  <si>
    <t>ÖSSZESEN</t>
  </si>
  <si>
    <t>Saját bevétel</t>
  </si>
  <si>
    <t>Állami támogatás</t>
  </si>
  <si>
    <t>Átvett pe.</t>
  </si>
  <si>
    <t>Bevételek összeen</t>
  </si>
  <si>
    <t>Kiadások</t>
  </si>
  <si>
    <t>Különbözet:</t>
  </si>
  <si>
    <t>x</t>
  </si>
  <si>
    <t>–</t>
  </si>
  <si>
    <t>Kiadások számítása</t>
  </si>
  <si>
    <t>Bevételek és kiadások összesítése</t>
  </si>
  <si>
    <t>Cikó:</t>
  </si>
  <si>
    <t>1 fő 4 órás közalkalmazott:</t>
  </si>
  <si>
    <t>Település megnevezése</t>
  </si>
  <si>
    <t>Becsült Mutatószám</t>
  </si>
  <si>
    <t>1 főre járó állami</t>
  </si>
  <si>
    <t>Bevétel összeseen</t>
  </si>
  <si>
    <t>Kiadások összege</t>
  </si>
  <si>
    <t>Hozzájárulás összegeFt-ban</t>
  </si>
  <si>
    <t xml:space="preserve">Ezer Ft-ban </t>
  </si>
  <si>
    <t>Étkezési hozzájárulás: 5.000 Ft/hó</t>
  </si>
  <si>
    <t>Járulékteher.</t>
  </si>
  <si>
    <t>Kiadás összesen:</t>
  </si>
  <si>
    <t>Lengyel:</t>
  </si>
  <si>
    <t xml:space="preserve">Tevel </t>
  </si>
  <si>
    <t>Öszesen:</t>
  </si>
  <si>
    <t>Mőcsény:</t>
  </si>
  <si>
    <t>Járulékteher</t>
  </si>
  <si>
    <t xml:space="preserve">Tevel: </t>
  </si>
  <si>
    <t>145 Ft X17,8km x 2 alkalom=5.162 Ft/nap</t>
  </si>
  <si>
    <t>12 hónapra vetítve 12 x 41.296.- Ft =495552.- Ft</t>
  </si>
  <si>
    <t>Vidék összesen:</t>
  </si>
  <si>
    <t>Feladatellátás összesen:</t>
  </si>
  <si>
    <t>12. melléklet</t>
  </si>
  <si>
    <t>Foglalkoztatottak száma</t>
  </si>
  <si>
    <t>Havi díj Ft/fő</t>
  </si>
  <si>
    <t>Hónapok száma</t>
  </si>
  <si>
    <t>Éves kiadás</t>
  </si>
  <si>
    <t>Bevételi terv</t>
  </si>
  <si>
    <t>Állami támogatás Ft/mutató</t>
  </si>
  <si>
    <t>Állami támogatás összege</t>
  </si>
  <si>
    <t>Hozzájárulás összege</t>
  </si>
  <si>
    <t>2 fő havi 10.000.- Ft</t>
  </si>
  <si>
    <t>Összesen:</t>
  </si>
  <si>
    <t>Bonyhádi kiadások</t>
  </si>
  <si>
    <t>Mutató-szám</t>
  </si>
  <si>
    <t>TAGOK 3. 2020. ÉVI EREDETI</t>
  </si>
  <si>
    <t>Kész</t>
  </si>
  <si>
    <t>Lakosság-szám 2019.01.01.     KEKKH</t>
  </si>
  <si>
    <t>1 fő 8 órás közalkalmazott:</t>
  </si>
  <si>
    <t>Bér 1 hóra 195000, 11 hóra 210600</t>
  </si>
  <si>
    <t>Járulék: 17,5 %</t>
  </si>
  <si>
    <t>Közlekedési költségtérítés Horváthné</t>
  </si>
  <si>
    <t xml:space="preserve">Bér 1 hóra 195000, 11 hóra 210600 Ft/2 </t>
  </si>
  <si>
    <t>Közlekedési költségtérítés Szabóné</t>
  </si>
  <si>
    <t>Heti két alkalom kijárás 3 fő részére</t>
  </si>
  <si>
    <t>1 hónapra8x 5.162 =41.296.- Fr</t>
  </si>
  <si>
    <t>Dolgozó bére: heti 5ó*4 hét= 20 óra/168 óra</t>
  </si>
  <si>
    <t>12 % bér jut.</t>
  </si>
  <si>
    <t xml:space="preserve">1 hóra 195000, 11 hóra 210600 Ft, </t>
  </si>
  <si>
    <t>100 fő ellátott van.</t>
  </si>
  <si>
    <t xml:space="preserve">Óraszámok alapján </t>
  </si>
  <si>
    <t xml:space="preserve">igényelt mutató </t>
  </si>
  <si>
    <t xml:space="preserve">62, ezért a létszám </t>
  </si>
  <si>
    <t>62 %-a kerül a becsült</t>
  </si>
  <si>
    <t xml:space="preserve">mutatószámhoz </t>
  </si>
  <si>
    <t xml:space="preserve">Egyeztető adatok </t>
  </si>
  <si>
    <t xml:space="preserve">Házi segítségnyújtás bevételei és kiadásai 2020. </t>
  </si>
  <si>
    <t>Jelzőrendszeres házi segítségnyújtás bevételei és kiadásai 2020. év</t>
  </si>
  <si>
    <t>Nagymányok: átlag alapján 971400/80</t>
  </si>
  <si>
    <t>Kerekítve</t>
  </si>
  <si>
    <t>Elenőrző számok</t>
  </si>
</sst>
</file>

<file path=xl/styles.xml><?xml version="1.0" encoding="utf-8"?>
<styleSheet xmlns="http://schemas.openxmlformats.org/spreadsheetml/2006/main">
  <numFmts count="8">
    <numFmt numFmtId="43" formatCode="_-* #,##0.00\ _F_t_-;\-* #,##0.00\ _F_t_-;_-* &quot;-&quot;??\ _F_t_-;_-@_-"/>
    <numFmt numFmtId="164" formatCode="0.0000"/>
    <numFmt numFmtId="165" formatCode="_-* #,##0\ _F_t_-;\-* #,##0\ _F_t_-;_-* &quot;-&quot;??\ _F_t_-;_-@_-"/>
    <numFmt numFmtId="166" formatCode="_-* #,##0.000\ _F_t_-;\-* #,##0.000\ _F_t_-;_-* &quot;-&quot;??\ _F_t_-;_-@_-"/>
    <numFmt numFmtId="167" formatCode="_-* #,##0.0\ _F_t_-;\-* #,##0.0\ _F_t_-;_-* &quot;-&quot;??\ _F_t_-;_-@_-"/>
    <numFmt numFmtId="168" formatCode="#,##0_ ;\-#,##0\ "/>
    <numFmt numFmtId="169" formatCode="#,##0.00_ ;\-#,##0.00\ "/>
    <numFmt numFmtId="170" formatCode="0.0%"/>
  </numFmts>
  <fonts count="2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sz val="11"/>
      <name val="Bookman Old Style"/>
      <family val="1"/>
      <charset val="238"/>
    </font>
    <font>
      <sz val="12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 CE"/>
      <charset val="238"/>
    </font>
    <font>
      <sz val="10"/>
      <color indexed="8"/>
      <name val="Arial"/>
      <family val="2"/>
      <charset val="238"/>
    </font>
    <font>
      <sz val="11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1" xfId="0" applyBorder="1"/>
    <xf numFmtId="0" fontId="0" fillId="0" borderId="2" xfId="0" applyBorder="1"/>
    <xf numFmtId="0" fontId="9" fillId="0" borderId="2" xfId="0" applyFont="1" applyBorder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0" fillId="0" borderId="0" xfId="0" applyFont="1"/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/>
    <xf numFmtId="165" fontId="0" fillId="2" borderId="1" xfId="1" applyNumberFormat="1" applyFont="1" applyFill="1" applyBorder="1"/>
    <xf numFmtId="165" fontId="14" fillId="2" borderId="1" xfId="1" applyNumberFormat="1" applyFont="1" applyFill="1" applyBorder="1"/>
    <xf numFmtId="165" fontId="4" fillId="2" borderId="1" xfId="1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/>
    <xf numFmtId="165" fontId="6" fillId="3" borderId="1" xfId="0" applyNumberFormat="1" applyFont="1" applyFill="1" applyBorder="1"/>
    <xf numFmtId="1" fontId="11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wrapText="1"/>
    </xf>
    <xf numFmtId="0" fontId="8" fillId="6" borderId="7" xfId="0" applyFont="1" applyFill="1" applyBorder="1" applyAlignment="1">
      <alignment wrapText="1"/>
    </xf>
    <xf numFmtId="0" fontId="8" fillId="5" borderId="9" xfId="0" applyFont="1" applyFill="1" applyBorder="1" applyAlignment="1">
      <alignment horizontal="center" wrapText="1"/>
    </xf>
    <xf numFmtId="1" fontId="8" fillId="5" borderId="1" xfId="0" applyNumberFormat="1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/>
    </xf>
    <xf numFmtId="165" fontId="7" fillId="5" borderId="1" xfId="0" applyNumberFormat="1" applyFont="1" applyFill="1" applyBorder="1"/>
    <xf numFmtId="165" fontId="5" fillId="3" borderId="1" xfId="1" applyNumberFormat="1" applyFont="1" applyFill="1" applyBorder="1" applyAlignment="1">
      <alignment horizontal="center"/>
    </xf>
    <xf numFmtId="0" fontId="0" fillId="7" borderId="0" xfId="0" applyFill="1"/>
    <xf numFmtId="0" fontId="5" fillId="0" borderId="0" xfId="0" applyFont="1" applyFill="1" applyBorder="1" applyAlignment="1">
      <alignment horizontal="left" vertical="center"/>
    </xf>
    <xf numFmtId="0" fontId="17" fillId="0" borderId="0" xfId="0" applyFont="1"/>
    <xf numFmtId="1" fontId="0" fillId="0" borderId="0" xfId="0" applyNumberFormat="1" applyBorder="1"/>
    <xf numFmtId="0" fontId="8" fillId="5" borderId="0" xfId="0" applyFont="1" applyFill="1" applyBorder="1" applyAlignment="1">
      <alignment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5" fillId="0" borderId="10" xfId="0" applyFont="1" applyFill="1" applyBorder="1" applyAlignment="1">
      <alignment horizontal="left" vertical="center"/>
    </xf>
    <xf numFmtId="0" fontId="9" fillId="0" borderId="1" xfId="0" applyFont="1" applyBorder="1"/>
    <xf numFmtId="164" fontId="0" fillId="0" borderId="0" xfId="0" applyNumberFormat="1"/>
    <xf numFmtId="1" fontId="0" fillId="0" borderId="0" xfId="0" applyNumberFormat="1"/>
    <xf numFmtId="0" fontId="9" fillId="0" borderId="0" xfId="0" applyFont="1"/>
    <xf numFmtId="165" fontId="0" fillId="0" borderId="0" xfId="1" applyNumberFormat="1" applyFont="1"/>
    <xf numFmtId="165" fontId="0" fillId="0" borderId="1" xfId="1" applyNumberFormat="1" applyFont="1" applyBorder="1"/>
    <xf numFmtId="165" fontId="10" fillId="0" borderId="0" xfId="1" applyNumberFormat="1" applyFont="1"/>
    <xf numFmtId="165" fontId="0" fillId="0" borderId="0" xfId="0" applyNumberFormat="1"/>
    <xf numFmtId="165" fontId="9" fillId="0" borderId="1" xfId="1" applyNumberFormat="1" applyFont="1" applyFill="1" applyBorder="1"/>
    <xf numFmtId="0" fontId="0" fillId="2" borderId="1" xfId="0" applyFill="1" applyBorder="1"/>
    <xf numFmtId="0" fontId="0" fillId="0" borderId="0" xfId="0" applyFill="1"/>
    <xf numFmtId="165" fontId="0" fillId="0" borderId="1" xfId="1" applyNumberFormat="1" applyFont="1" applyFill="1" applyBorder="1"/>
    <xf numFmtId="0" fontId="9" fillId="0" borderId="0" xfId="0" applyFont="1" applyFill="1"/>
    <xf numFmtId="165" fontId="0" fillId="0" borderId="0" xfId="1" applyNumberFormat="1" applyFont="1" applyFill="1"/>
    <xf numFmtId="14" fontId="0" fillId="0" borderId="0" xfId="0" applyNumberFormat="1"/>
    <xf numFmtId="165" fontId="10" fillId="0" borderId="0" xfId="1" applyNumberFormat="1" applyFont="1" applyFill="1"/>
    <xf numFmtId="0" fontId="2" fillId="0" borderId="0" xfId="0" applyFont="1"/>
    <xf numFmtId="165" fontId="2" fillId="0" borderId="0" xfId="0" applyNumberFormat="1" applyFont="1"/>
    <xf numFmtId="3" fontId="2" fillId="0" borderId="0" xfId="0" applyNumberFormat="1" applyFont="1"/>
    <xf numFmtId="169" fontId="0" fillId="0" borderId="1" xfId="1" applyNumberFormat="1" applyFont="1" applyBorder="1"/>
    <xf numFmtId="165" fontId="9" fillId="0" borderId="0" xfId="1" applyNumberFormat="1" applyFont="1"/>
    <xf numFmtId="167" fontId="0" fillId="0" borderId="0" xfId="0" applyNumberFormat="1"/>
    <xf numFmtId="166" fontId="0" fillId="0" borderId="0" xfId="0" applyNumberFormat="1"/>
    <xf numFmtId="0" fontId="12" fillId="2" borderId="1" xfId="0" applyFont="1" applyFill="1" applyBorder="1" applyAlignment="1">
      <alignment horizontal="center" vertical="center" wrapText="1"/>
    </xf>
    <xf numFmtId="165" fontId="12" fillId="2" borderId="1" xfId="1" applyNumberFormat="1" applyFont="1" applyFill="1" applyBorder="1" applyAlignment="1">
      <alignment horizontal="center"/>
    </xf>
    <xf numFmtId="165" fontId="12" fillId="2" borderId="1" xfId="1" applyNumberFormat="1" applyFont="1" applyFill="1" applyBorder="1"/>
    <xf numFmtId="0" fontId="12" fillId="2" borderId="1" xfId="0" applyFont="1" applyFill="1" applyBorder="1"/>
    <xf numFmtId="0" fontId="10" fillId="2" borderId="1" xfId="0" applyFont="1" applyFill="1" applyBorder="1"/>
    <xf numFmtId="0" fontId="9" fillId="8" borderId="1" xfId="0" applyFont="1" applyFill="1" applyBorder="1"/>
    <xf numFmtId="0" fontId="2" fillId="2" borderId="1" xfId="0" applyFont="1" applyFill="1" applyBorder="1"/>
    <xf numFmtId="0" fontId="11" fillId="4" borderId="1" xfId="0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4" fillId="0" borderId="7" xfId="0" applyFont="1" applyBorder="1"/>
    <xf numFmtId="0" fontId="15" fillId="7" borderId="0" xfId="0" applyFont="1" applyFill="1" applyBorder="1"/>
    <xf numFmtId="165" fontId="16" fillId="7" borderId="0" xfId="0" applyNumberFormat="1" applyFont="1" applyFill="1" applyBorder="1"/>
    <xf numFmtId="167" fontId="15" fillId="7" borderId="0" xfId="0" applyNumberFormat="1" applyFont="1" applyFill="1" applyBorder="1" applyAlignment="1"/>
    <xf numFmtId="0" fontId="17" fillId="2" borderId="11" xfId="0" applyFont="1" applyFill="1" applyBorder="1"/>
    <xf numFmtId="0" fontId="0" fillId="2" borderId="12" xfId="0" applyFill="1" applyBorder="1"/>
    <xf numFmtId="0" fontId="0" fillId="2" borderId="13" xfId="0" applyFill="1" applyBorder="1"/>
    <xf numFmtId="170" fontId="0" fillId="0" borderId="0" xfId="3" applyNumberFormat="1" applyFont="1"/>
    <xf numFmtId="0" fontId="5" fillId="4" borderId="6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43" fontId="5" fillId="3" borderId="1" xfId="0" applyNumberFormat="1" applyFont="1" applyFill="1" applyBorder="1" applyAlignment="1">
      <alignment horizontal="center" vertical="center"/>
    </xf>
    <xf numFmtId="167" fontId="8" fillId="4" borderId="1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7" fontId="5" fillId="3" borderId="1" xfId="0" applyNumberFormat="1" applyFont="1" applyFill="1" applyBorder="1" applyAlignment="1">
      <alignment horizontal="center" vertical="center"/>
    </xf>
    <xf numFmtId="167" fontId="11" fillId="4" borderId="1" xfId="1" applyNumberFormat="1" applyFont="1" applyFill="1" applyBorder="1" applyAlignment="1">
      <alignment horizontal="center" vertical="center"/>
    </xf>
    <xf numFmtId="167" fontId="11" fillId="4" borderId="1" xfId="0" applyNumberFormat="1" applyFont="1" applyFill="1" applyBorder="1" applyAlignment="1">
      <alignment horizontal="center" vertical="center"/>
    </xf>
    <xf numFmtId="167" fontId="11" fillId="3" borderId="1" xfId="0" applyNumberFormat="1" applyFont="1" applyFill="1" applyBorder="1" applyAlignment="1">
      <alignment horizontal="center" vertical="center"/>
    </xf>
    <xf numFmtId="165" fontId="15" fillId="7" borderId="0" xfId="0" applyNumberFormat="1" applyFont="1" applyFill="1" applyBorder="1"/>
    <xf numFmtId="0" fontId="18" fillId="0" borderId="0" xfId="0" applyFont="1"/>
    <xf numFmtId="0" fontId="18" fillId="0" borderId="0" xfId="0" applyFont="1" applyAlignment="1">
      <alignment vertical="center" wrapText="1"/>
    </xf>
    <xf numFmtId="3" fontId="18" fillId="0" borderId="0" xfId="0" applyNumberFormat="1" applyFont="1"/>
    <xf numFmtId="0" fontId="8" fillId="4" borderId="1" xfId="0" applyFont="1" applyFill="1" applyBorder="1" applyAlignment="1">
      <alignment horizontal="center" wrapText="1"/>
    </xf>
    <xf numFmtId="1" fontId="8" fillId="4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/>
    <xf numFmtId="165" fontId="7" fillId="4" borderId="1" xfId="0" applyNumberFormat="1" applyFont="1" applyFill="1" applyBorder="1"/>
    <xf numFmtId="0" fontId="0" fillId="0" borderId="0" xfId="0" applyFill="1" applyBorder="1" applyAlignment="1">
      <alignment vertical="center" wrapText="1"/>
    </xf>
    <xf numFmtId="1" fontId="0" fillId="0" borderId="0" xfId="0" applyNumberFormat="1" applyFill="1" applyBorder="1"/>
    <xf numFmtId="1" fontId="0" fillId="0" borderId="0" xfId="0" applyNumberFormat="1" applyFill="1"/>
    <xf numFmtId="0" fontId="3" fillId="0" borderId="14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7" borderId="0" xfId="0" applyNumberFormat="1" applyFill="1"/>
    <xf numFmtId="3" fontId="3" fillId="0" borderId="0" xfId="0" applyNumberFormat="1" applyFont="1" applyAlignment="1">
      <alignment horizontal="center"/>
    </xf>
    <xf numFmtId="3" fontId="0" fillId="0" borderId="0" xfId="0" applyNumberFormat="1" applyFill="1"/>
    <xf numFmtId="3" fontId="4" fillId="3" borderId="1" xfId="0" applyNumberFormat="1" applyFont="1" applyFill="1" applyBorder="1" applyAlignment="1">
      <alignment horizontal="center" vertical="center" wrapText="1"/>
    </xf>
    <xf numFmtId="3" fontId="4" fillId="3" borderId="1" xfId="1" applyNumberFormat="1" applyFont="1" applyFill="1" applyBorder="1" applyAlignment="1">
      <alignment vertical="center" wrapText="1"/>
    </xf>
    <xf numFmtId="3" fontId="4" fillId="3" borderId="1" xfId="1" applyNumberFormat="1" applyFont="1" applyFill="1" applyBorder="1" applyAlignment="1">
      <alignment horizontal="center" vertical="center" wrapText="1"/>
    </xf>
    <xf numFmtId="3" fontId="4" fillId="3" borderId="1" xfId="1" applyNumberFormat="1" applyFont="1" applyFill="1" applyBorder="1" applyAlignment="1">
      <alignment horizontal="center" vertical="center" wrapText="1" shrinkToFit="1"/>
    </xf>
    <xf numFmtId="3" fontId="9" fillId="3" borderId="1" xfId="1" applyNumberFormat="1" applyFont="1" applyFill="1" applyBorder="1"/>
    <xf numFmtId="3" fontId="4" fillId="3" borderId="1" xfId="0" applyNumberFormat="1" applyFont="1" applyFill="1" applyBorder="1"/>
    <xf numFmtId="3" fontId="4" fillId="3" borderId="1" xfId="0" applyNumberFormat="1" applyFont="1" applyFill="1" applyBorder="1" applyAlignment="1">
      <alignment horizontal="center"/>
    </xf>
    <xf numFmtId="3" fontId="4" fillId="3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/>
    </xf>
    <xf numFmtId="3" fontId="4" fillId="3" borderId="9" xfId="1" applyNumberFormat="1" applyFont="1" applyFill="1" applyBorder="1" applyAlignment="1">
      <alignment horizontal="center"/>
    </xf>
    <xf numFmtId="3" fontId="4" fillId="3" borderId="15" xfId="1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9" fillId="0" borderId="0" xfId="0" applyFont="1" applyFill="1" applyBorder="1"/>
    <xf numFmtId="3" fontId="0" fillId="0" borderId="0" xfId="1" applyNumberFormat="1" applyFont="1" applyFill="1" applyBorder="1"/>
    <xf numFmtId="168" fontId="0" fillId="0" borderId="1" xfId="1" applyNumberFormat="1" applyFont="1" applyBorder="1" applyAlignment="1">
      <alignment horizontal="center"/>
    </xf>
    <xf numFmtId="0" fontId="0" fillId="2" borderId="8" xfId="0" applyFill="1" applyBorder="1"/>
    <xf numFmtId="0" fontId="0" fillId="8" borderId="1" xfId="0" applyFill="1" applyBorder="1"/>
    <xf numFmtId="2" fontId="2" fillId="0" borderId="0" xfId="0" applyNumberFormat="1" applyFont="1" applyAlignment="1">
      <alignment horizontal="center" vertical="center" wrapText="1"/>
    </xf>
    <xf numFmtId="0" fontId="19" fillId="2" borderId="7" xfId="0" applyFont="1" applyFill="1" applyBorder="1"/>
    <xf numFmtId="0" fontId="19" fillId="2" borderId="6" xfId="0" applyFont="1" applyFill="1" applyBorder="1"/>
    <xf numFmtId="3" fontId="19" fillId="2" borderId="6" xfId="0" applyNumberFormat="1" applyFont="1" applyFill="1" applyBorder="1"/>
    <xf numFmtId="0" fontId="2" fillId="2" borderId="8" xfId="0" applyFont="1" applyFill="1" applyBorder="1"/>
    <xf numFmtId="0" fontId="0" fillId="2" borderId="0" xfId="0" applyFill="1"/>
    <xf numFmtId="0" fontId="0" fillId="0" borderId="0" xfId="0" applyBorder="1"/>
    <xf numFmtId="0" fontId="9" fillId="0" borderId="16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20" fillId="2" borderId="11" xfId="0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0" fontId="0" fillId="7" borderId="0" xfId="0" applyFill="1" applyBorder="1" applyAlignment="1">
      <alignment horizontal="center" vertical="center" wrapText="1"/>
    </xf>
  </cellXfs>
  <cellStyles count="4">
    <cellStyle name="Ezres 2" xfId="1"/>
    <cellStyle name="Normál" xfId="0" builtinId="0"/>
    <cellStyle name="Normál 2" xfId="2"/>
    <cellStyle name="Százalék" xfId="3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0"/>
  <sheetViews>
    <sheetView view="pageBreakPreview" zoomScale="68" zoomScaleNormal="57" zoomScaleSheetLayoutView="68" workbookViewId="0">
      <selection activeCell="D20" sqref="D20"/>
    </sheetView>
  </sheetViews>
  <sheetFormatPr defaultRowHeight="15"/>
  <cols>
    <col min="1" max="2" width="15.7109375" customWidth="1"/>
    <col min="3" max="3" width="21.140625" customWidth="1"/>
    <col min="4" max="18" width="15.7109375" customWidth="1"/>
  </cols>
  <sheetData>
    <row r="1" spans="1:18" ht="19.5" thickBot="1">
      <c r="A1" s="88" t="s">
        <v>106</v>
      </c>
      <c r="B1" s="89"/>
      <c r="C1" s="89"/>
      <c r="D1" s="90"/>
      <c r="R1" s="64" t="s">
        <v>72</v>
      </c>
    </row>
    <row r="2" spans="1:18">
      <c r="H2" s="51"/>
      <c r="I2" s="52"/>
      <c r="J2" s="52"/>
      <c r="K2" s="52"/>
      <c r="L2" s="52"/>
      <c r="M2" s="52"/>
      <c r="N2" s="52"/>
      <c r="O2" s="52"/>
    </row>
    <row r="4" spans="1:18" ht="15.75">
      <c r="A4" s="76" t="s">
        <v>48</v>
      </c>
      <c r="B4" s="76"/>
      <c r="C4" s="59"/>
      <c r="J4" s="77" t="s">
        <v>49</v>
      </c>
      <c r="K4" s="59"/>
      <c r="L4" s="138"/>
    </row>
    <row r="6" spans="1:18">
      <c r="A6" s="78" t="s">
        <v>50</v>
      </c>
      <c r="B6" s="53" t="s">
        <v>88</v>
      </c>
      <c r="E6" s="146"/>
    </row>
    <row r="7" spans="1:18" ht="15.75">
      <c r="B7" s="53" t="s">
        <v>89</v>
      </c>
      <c r="D7">
        <v>1</v>
      </c>
      <c r="E7">
        <v>195000</v>
      </c>
      <c r="F7">
        <v>11</v>
      </c>
      <c r="G7">
        <v>210600</v>
      </c>
      <c r="H7" s="54">
        <f>D7*E7+F7*G7</f>
        <v>2511600</v>
      </c>
      <c r="I7" s="54"/>
      <c r="J7" s="149" t="s">
        <v>52</v>
      </c>
      <c r="K7" s="149" t="s">
        <v>40</v>
      </c>
      <c r="L7" s="149" t="s">
        <v>53</v>
      </c>
      <c r="M7" s="149" t="s">
        <v>54</v>
      </c>
      <c r="N7" s="149" t="s">
        <v>41</v>
      </c>
      <c r="O7" s="149" t="s">
        <v>55</v>
      </c>
      <c r="P7" s="149" t="s">
        <v>56</v>
      </c>
      <c r="Q7" s="147" t="s">
        <v>57</v>
      </c>
      <c r="R7" s="73" t="s">
        <v>58</v>
      </c>
    </row>
    <row r="8" spans="1:18" ht="15.75">
      <c r="B8" s="53" t="s">
        <v>90</v>
      </c>
      <c r="F8" s="57">
        <f>H7</f>
        <v>2511600</v>
      </c>
      <c r="G8">
        <v>0.17499999999999999</v>
      </c>
      <c r="H8" s="54">
        <f>D8*E8+F8*G8</f>
        <v>439530</v>
      </c>
      <c r="I8" s="54"/>
      <c r="J8" s="150"/>
      <c r="K8" s="150"/>
      <c r="L8" s="150"/>
      <c r="M8" s="150"/>
      <c r="N8" s="150"/>
      <c r="O8" s="150"/>
      <c r="P8" s="150"/>
      <c r="Q8" s="148"/>
      <c r="R8" s="73"/>
    </row>
    <row r="9" spans="1:18" ht="15.75">
      <c r="B9" s="53" t="s">
        <v>59</v>
      </c>
      <c r="F9">
        <v>12</v>
      </c>
      <c r="G9">
        <v>5000</v>
      </c>
      <c r="H9" s="54">
        <f>F9*G9</f>
        <v>60000</v>
      </c>
      <c r="I9" s="54"/>
      <c r="J9" s="50" t="s">
        <v>5</v>
      </c>
      <c r="K9" s="55">
        <f>K18/L15*L9</f>
        <v>367493.54838709679</v>
      </c>
      <c r="L9" s="69">
        <v>3.7</v>
      </c>
      <c r="M9" s="55">
        <v>429000</v>
      </c>
      <c r="N9" s="55">
        <f>L9*M9</f>
        <v>1587300</v>
      </c>
      <c r="O9" s="55">
        <f t="shared" ref="O9:O14" si="0">K9+N9</f>
        <v>1954793.5483870967</v>
      </c>
      <c r="P9" s="61">
        <f>H12</f>
        <v>3129510</v>
      </c>
      <c r="Q9" s="61">
        <f>O9-P9</f>
        <v>-1174716.4516129033</v>
      </c>
      <c r="R9" s="74">
        <v>-1174</v>
      </c>
    </row>
    <row r="10" spans="1:18" ht="15.75">
      <c r="B10" s="53" t="s">
        <v>60</v>
      </c>
      <c r="D10" s="57">
        <f>H9</f>
        <v>60000</v>
      </c>
      <c r="E10">
        <v>0.17499999999999999</v>
      </c>
      <c r="F10" s="57">
        <f>H9</f>
        <v>60000</v>
      </c>
      <c r="G10">
        <v>0.15</v>
      </c>
      <c r="H10" s="54">
        <f>F10*G10+D10*E10</f>
        <v>19500</v>
      </c>
      <c r="I10" s="54"/>
      <c r="J10" s="50" t="s">
        <v>10</v>
      </c>
      <c r="K10" s="55">
        <f>K18/L15*L10</f>
        <v>188712.90322580643</v>
      </c>
      <c r="L10" s="69">
        <v>1.9</v>
      </c>
      <c r="M10" s="55">
        <v>429000</v>
      </c>
      <c r="N10" s="55">
        <f t="shared" ref="N10:N15" si="1">L10*M10</f>
        <v>815100</v>
      </c>
      <c r="O10" s="55">
        <f t="shared" si="0"/>
        <v>1003812.9032258064</v>
      </c>
      <c r="P10" s="61">
        <f>H46</f>
        <v>859227.6</v>
      </c>
      <c r="Q10" s="61">
        <f t="shared" ref="Q10:Q15" si="2">O10-P10</f>
        <v>144585.30322580645</v>
      </c>
      <c r="R10" s="74">
        <v>145</v>
      </c>
    </row>
    <row r="11" spans="1:18" ht="15.75">
      <c r="B11" s="53" t="s">
        <v>91</v>
      </c>
      <c r="D11" s="57"/>
      <c r="F11" s="57">
        <v>8240</v>
      </c>
      <c r="G11">
        <v>12</v>
      </c>
      <c r="H11" s="54">
        <v>98880</v>
      </c>
      <c r="I11" s="56"/>
      <c r="J11" s="50" t="s">
        <v>15</v>
      </c>
      <c r="K11" s="55">
        <f>K18/L15*L11</f>
        <v>615800</v>
      </c>
      <c r="L11" s="69">
        <v>6.2</v>
      </c>
      <c r="M11" s="55">
        <v>429000</v>
      </c>
      <c r="N11" s="55">
        <f t="shared" si="1"/>
        <v>2659800</v>
      </c>
      <c r="O11" s="55">
        <f t="shared" si="0"/>
        <v>3275600</v>
      </c>
      <c r="P11" s="61">
        <f>H20</f>
        <v>1675215</v>
      </c>
      <c r="Q11" s="61">
        <f t="shared" si="2"/>
        <v>1600385</v>
      </c>
      <c r="R11" s="74">
        <v>1600</v>
      </c>
    </row>
    <row r="12" spans="1:18" ht="15.75">
      <c r="B12" s="53" t="s">
        <v>61</v>
      </c>
      <c r="H12" s="56">
        <f>SUM(H7:H11)</f>
        <v>3129510</v>
      </c>
      <c r="I12" s="54"/>
      <c r="J12" s="50" t="s">
        <v>17</v>
      </c>
      <c r="K12" s="55">
        <f>K18/L15*L12</f>
        <v>496612.90322580643</v>
      </c>
      <c r="L12" s="69">
        <v>5</v>
      </c>
      <c r="M12" s="55">
        <v>429000</v>
      </c>
      <c r="N12" s="55">
        <f t="shared" si="1"/>
        <v>2145000</v>
      </c>
      <c r="O12" s="55">
        <f t="shared" si="0"/>
        <v>2641612.9032258065</v>
      </c>
      <c r="P12" s="61">
        <f>H27</f>
        <v>3030630</v>
      </c>
      <c r="Q12" s="61">
        <f t="shared" si="2"/>
        <v>-389017.09677419346</v>
      </c>
      <c r="R12" s="74">
        <v>-390</v>
      </c>
    </row>
    <row r="13" spans="1:18" ht="15.75">
      <c r="H13" s="54"/>
      <c r="J13" s="50" t="s">
        <v>63</v>
      </c>
      <c r="K13" s="55">
        <f>K18/L15*L13</f>
        <v>794580.6451612903</v>
      </c>
      <c r="L13" s="69">
        <v>8</v>
      </c>
      <c r="M13" s="55">
        <v>429000</v>
      </c>
      <c r="N13" s="55">
        <f t="shared" si="1"/>
        <v>3432000</v>
      </c>
      <c r="O13" s="55">
        <f t="shared" si="0"/>
        <v>4226580.6451612907</v>
      </c>
      <c r="P13" s="58">
        <f>H34</f>
        <v>1515315</v>
      </c>
      <c r="Q13" s="61">
        <f t="shared" si="2"/>
        <v>2711265.6451612907</v>
      </c>
      <c r="R13" s="74">
        <v>2711</v>
      </c>
    </row>
    <row r="14" spans="1:18" ht="15.75">
      <c r="A14" s="78" t="s">
        <v>62</v>
      </c>
      <c r="B14" s="53" t="s">
        <v>51</v>
      </c>
      <c r="I14" s="54"/>
      <c r="J14" s="50" t="s">
        <v>3</v>
      </c>
      <c r="K14" s="55">
        <f>K18/L15*L14</f>
        <v>3694799.9999999995</v>
      </c>
      <c r="L14" s="69">
        <f>L15-L9-L10-L11-L12-L13</f>
        <v>37.199999999999996</v>
      </c>
      <c r="M14" s="55">
        <v>429000</v>
      </c>
      <c r="N14" s="55">
        <f t="shared" si="1"/>
        <v>15958799.999999998</v>
      </c>
      <c r="O14" s="55">
        <f t="shared" si="0"/>
        <v>19653599.999999996</v>
      </c>
      <c r="P14" s="61">
        <f>H48</f>
        <v>39692102.399999999</v>
      </c>
      <c r="Q14" s="61">
        <f t="shared" si="2"/>
        <v>-20038502.400000002</v>
      </c>
      <c r="R14" s="74">
        <v>-20038</v>
      </c>
    </row>
    <row r="15" spans="1:18" ht="15.75">
      <c r="B15" s="53" t="s">
        <v>92</v>
      </c>
      <c r="D15">
        <v>1</v>
      </c>
      <c r="E15">
        <v>97500</v>
      </c>
      <c r="F15">
        <v>11</v>
      </c>
      <c r="G15">
        <v>105300</v>
      </c>
      <c r="H15" s="54">
        <f>D15*E15+F15*G15</f>
        <v>1255800</v>
      </c>
      <c r="I15" s="54"/>
      <c r="J15" s="50" t="s">
        <v>64</v>
      </c>
      <c r="K15" s="55">
        <f>SUM(K9:K14)</f>
        <v>6158000</v>
      </c>
      <c r="L15" s="69">
        <v>62</v>
      </c>
      <c r="M15" s="55">
        <v>429000</v>
      </c>
      <c r="N15" s="55">
        <f t="shared" si="1"/>
        <v>26598000</v>
      </c>
      <c r="O15" s="55">
        <f>O9+O10+O11+O12+O13+O14</f>
        <v>32755999.999999996</v>
      </c>
      <c r="P15" s="137">
        <f>SUM(P9:P14)</f>
        <v>49902000</v>
      </c>
      <c r="Q15" s="61">
        <f t="shared" si="2"/>
        <v>-17146000.000000004</v>
      </c>
      <c r="R15" s="75">
        <f>SUM(R9:R14)</f>
        <v>-17146</v>
      </c>
    </row>
    <row r="16" spans="1:18">
      <c r="B16" s="53" t="s">
        <v>90</v>
      </c>
      <c r="F16" s="57">
        <f>H15</f>
        <v>1255800</v>
      </c>
      <c r="G16">
        <v>0.17499999999999999</v>
      </c>
      <c r="H16" s="54">
        <f>D16*E16+F16*G16</f>
        <v>219765</v>
      </c>
      <c r="I16" s="54"/>
      <c r="N16" s="57"/>
      <c r="O16" s="57">
        <v>0</v>
      </c>
      <c r="R16" s="57"/>
    </row>
    <row r="17" spans="1:18">
      <c r="B17" s="53" t="s">
        <v>59</v>
      </c>
      <c r="F17">
        <v>12</v>
      </c>
      <c r="G17">
        <v>2500</v>
      </c>
      <c r="H17" s="54">
        <v>30000</v>
      </c>
      <c r="I17" s="54"/>
      <c r="K17" s="57"/>
      <c r="L17" s="72"/>
      <c r="M17" s="71"/>
      <c r="N17" s="57"/>
      <c r="O17" s="57"/>
      <c r="P17" s="57"/>
      <c r="Q17" s="57"/>
    </row>
    <row r="18" spans="1:18">
      <c r="B18" s="53" t="s">
        <v>60</v>
      </c>
      <c r="D18" s="57">
        <f>H17</f>
        <v>30000</v>
      </c>
      <c r="E18">
        <v>0.17499999999999999</v>
      </c>
      <c r="F18" s="57">
        <f>H17</f>
        <v>30000</v>
      </c>
      <c r="G18">
        <v>0.15</v>
      </c>
      <c r="H18" s="54">
        <f>F18*G18+D18*E18</f>
        <v>9750</v>
      </c>
      <c r="I18" s="56"/>
      <c r="J18" s="135" t="s">
        <v>105</v>
      </c>
      <c r="K18" s="113">
        <v>6158000</v>
      </c>
      <c r="L18" s="113">
        <v>62</v>
      </c>
      <c r="M18" s="136">
        <v>429000</v>
      </c>
      <c r="N18" s="113">
        <v>26598000</v>
      </c>
      <c r="O18" s="113"/>
      <c r="P18" s="113">
        <v>49902000</v>
      </c>
      <c r="R18" s="57"/>
    </row>
    <row r="19" spans="1:18">
      <c r="B19" s="53" t="s">
        <v>93</v>
      </c>
      <c r="D19" s="57"/>
      <c r="F19" s="57">
        <v>13325</v>
      </c>
      <c r="G19">
        <v>12</v>
      </c>
      <c r="H19" s="54">
        <f>F19*G19</f>
        <v>159900</v>
      </c>
      <c r="K19" s="91"/>
      <c r="L19" s="52"/>
      <c r="R19" s="57"/>
    </row>
    <row r="20" spans="1:18">
      <c r="B20" s="53" t="s">
        <v>61</v>
      </c>
      <c r="H20" s="56">
        <f>SUM(H15:H19)</f>
        <v>1675215</v>
      </c>
      <c r="I20" s="60"/>
      <c r="J20" s="57"/>
      <c r="K20" s="91"/>
      <c r="L20" s="52" t="s">
        <v>99</v>
      </c>
      <c r="R20" s="57"/>
    </row>
    <row r="21" spans="1:18">
      <c r="I21" s="63"/>
      <c r="K21" s="91"/>
      <c r="L21" s="52" t="s">
        <v>100</v>
      </c>
    </row>
    <row r="22" spans="1:18">
      <c r="A22" s="78" t="s">
        <v>65</v>
      </c>
      <c r="B22" s="53" t="s">
        <v>88</v>
      </c>
      <c r="E22" s="146"/>
      <c r="I22" s="63"/>
      <c r="K22" s="91"/>
      <c r="L22" s="52" t="s">
        <v>101</v>
      </c>
    </row>
    <row r="23" spans="1:18">
      <c r="A23" s="60"/>
      <c r="B23" s="53" t="s">
        <v>89</v>
      </c>
      <c r="D23">
        <v>1</v>
      </c>
      <c r="E23">
        <v>195000</v>
      </c>
      <c r="F23">
        <v>11</v>
      </c>
      <c r="G23">
        <v>210600</v>
      </c>
      <c r="H23" s="54">
        <f>D23*E23+F23*G23</f>
        <v>2511600</v>
      </c>
      <c r="I23" s="63"/>
      <c r="K23" s="91"/>
      <c r="L23" s="52" t="s">
        <v>102</v>
      </c>
    </row>
    <row r="24" spans="1:18">
      <c r="A24" s="60"/>
      <c r="B24" s="53" t="s">
        <v>90</v>
      </c>
      <c r="F24" s="57">
        <f>H23</f>
        <v>2511600</v>
      </c>
      <c r="G24">
        <v>0.17499999999999999</v>
      </c>
      <c r="H24" s="54">
        <f>D24*E24+F24*G24</f>
        <v>439530</v>
      </c>
      <c r="I24" s="63"/>
      <c r="K24" s="91"/>
      <c r="L24" s="52" t="s">
        <v>103</v>
      </c>
      <c r="M24" s="57"/>
    </row>
    <row r="25" spans="1:18">
      <c r="A25" s="60"/>
      <c r="B25" s="53" t="s">
        <v>59</v>
      </c>
      <c r="F25">
        <v>12</v>
      </c>
      <c r="G25">
        <v>5000</v>
      </c>
      <c r="H25" s="54">
        <f>F25*G25</f>
        <v>60000</v>
      </c>
      <c r="I25" s="65"/>
      <c r="K25" s="91"/>
      <c r="L25" s="52" t="s">
        <v>104</v>
      </c>
    </row>
    <row r="26" spans="1:18">
      <c r="A26" s="60"/>
      <c r="B26" s="53" t="s">
        <v>60</v>
      </c>
      <c r="D26" s="57">
        <f>H25</f>
        <v>60000</v>
      </c>
      <c r="E26">
        <v>0.17499999999999999</v>
      </c>
      <c r="F26" s="57">
        <f>H25</f>
        <v>60000</v>
      </c>
      <c r="G26">
        <v>0.15</v>
      </c>
      <c r="H26" s="54">
        <f>F26*G26+D26*E26</f>
        <v>19500</v>
      </c>
      <c r="M26" s="52"/>
    </row>
    <row r="27" spans="1:18">
      <c r="A27" s="60"/>
      <c r="B27" s="53" t="s">
        <v>61</v>
      </c>
      <c r="H27" s="56">
        <f>SUM(H23:H26)</f>
        <v>3030630</v>
      </c>
    </row>
    <row r="28" spans="1:18">
      <c r="B28" s="53"/>
      <c r="H28" s="56"/>
      <c r="I28" s="54"/>
    </row>
    <row r="29" spans="1:18">
      <c r="A29" s="78" t="s">
        <v>67</v>
      </c>
      <c r="B29" s="53" t="s">
        <v>51</v>
      </c>
      <c r="I29" s="54"/>
    </row>
    <row r="30" spans="1:18">
      <c r="B30" s="53" t="s">
        <v>92</v>
      </c>
      <c r="D30">
        <v>1</v>
      </c>
      <c r="E30">
        <v>97500</v>
      </c>
      <c r="F30">
        <v>11</v>
      </c>
      <c r="G30">
        <v>105300</v>
      </c>
      <c r="H30" s="54">
        <f>D30*E30+F30*G30</f>
        <v>1255800</v>
      </c>
      <c r="I30" s="54"/>
    </row>
    <row r="31" spans="1:18">
      <c r="B31" s="53" t="s">
        <v>90</v>
      </c>
      <c r="F31" s="57">
        <f>H30</f>
        <v>1255800</v>
      </c>
      <c r="G31">
        <v>0.17499999999999999</v>
      </c>
      <c r="H31" s="54">
        <f>D31*E31+F31*G31</f>
        <v>219765</v>
      </c>
      <c r="I31" s="54"/>
    </row>
    <row r="32" spans="1:18">
      <c r="B32" s="53" t="s">
        <v>59</v>
      </c>
      <c r="F32">
        <v>12</v>
      </c>
      <c r="G32">
        <v>2500</v>
      </c>
      <c r="H32" s="54">
        <v>30000</v>
      </c>
      <c r="I32" s="56"/>
    </row>
    <row r="33" spans="1:18">
      <c r="B33" s="53" t="s">
        <v>60</v>
      </c>
      <c r="D33" s="57">
        <f>H32</f>
        <v>30000</v>
      </c>
      <c r="E33">
        <v>0.17499999999999999</v>
      </c>
      <c r="F33" s="57">
        <f>H32</f>
        <v>30000</v>
      </c>
      <c r="G33">
        <v>0.15</v>
      </c>
      <c r="H33" s="54">
        <f>F33*G33+D33*E33</f>
        <v>9750</v>
      </c>
      <c r="I33" s="56"/>
    </row>
    <row r="34" spans="1:18">
      <c r="B34" s="53" t="s">
        <v>61</v>
      </c>
      <c r="H34" s="56">
        <f>SUM(H30:H33)</f>
        <v>1515315</v>
      </c>
    </row>
    <row r="35" spans="1:18">
      <c r="B35" s="53"/>
      <c r="H35" s="56"/>
    </row>
    <row r="36" spans="1:18">
      <c r="A36" s="139" t="s">
        <v>10</v>
      </c>
      <c r="B36" s="53" t="s">
        <v>94</v>
      </c>
      <c r="H36" s="56"/>
    </row>
    <row r="37" spans="1:18">
      <c r="B37" s="53" t="s">
        <v>68</v>
      </c>
      <c r="H37" s="56"/>
    </row>
    <row r="38" spans="1:18">
      <c r="B38" s="53" t="s">
        <v>95</v>
      </c>
      <c r="H38" s="56"/>
    </row>
    <row r="39" spans="1:18">
      <c r="B39" s="53" t="s">
        <v>69</v>
      </c>
      <c r="H39" s="70">
        <v>495552</v>
      </c>
    </row>
    <row r="40" spans="1:18">
      <c r="B40" s="53" t="s">
        <v>96</v>
      </c>
      <c r="H40" s="56"/>
    </row>
    <row r="41" spans="1:18">
      <c r="B41" s="53" t="s">
        <v>97</v>
      </c>
      <c r="H41" s="56"/>
    </row>
    <row r="42" spans="1:18">
      <c r="B42" s="53" t="s">
        <v>98</v>
      </c>
      <c r="D42">
        <v>1</v>
      </c>
      <c r="E42">
        <f>195000*0.12</f>
        <v>23400</v>
      </c>
      <c r="F42">
        <v>11</v>
      </c>
      <c r="G42">
        <f>210600*0.12</f>
        <v>25272</v>
      </c>
      <c r="H42" s="70">
        <f>D42*E42+F42*G42</f>
        <v>301392</v>
      </c>
    </row>
    <row r="43" spans="1:18">
      <c r="B43" s="62" t="s">
        <v>90</v>
      </c>
      <c r="C43" s="60"/>
      <c r="F43" s="57">
        <f>H42</f>
        <v>301392</v>
      </c>
      <c r="G43">
        <v>0.17499999999999999</v>
      </c>
      <c r="H43" s="70">
        <f>D43*E43+F43*G43</f>
        <v>52743.6</v>
      </c>
    </row>
    <row r="44" spans="1:18">
      <c r="B44" s="62" t="s">
        <v>59</v>
      </c>
      <c r="C44" s="60"/>
      <c r="F44">
        <v>12</v>
      </c>
      <c r="G44">
        <f>5000*0.12</f>
        <v>600</v>
      </c>
      <c r="H44" s="70">
        <f>D44*E44+F44*G44</f>
        <v>7200</v>
      </c>
      <c r="L44" s="66"/>
    </row>
    <row r="45" spans="1:18">
      <c r="B45" s="62" t="s">
        <v>66</v>
      </c>
      <c r="C45" s="60"/>
      <c r="D45" s="57">
        <f>H44</f>
        <v>7200</v>
      </c>
      <c r="E45">
        <v>0.17499999999999999</v>
      </c>
      <c r="F45" s="57">
        <f>H44</f>
        <v>7200</v>
      </c>
      <c r="G45">
        <v>0.15</v>
      </c>
      <c r="H45" s="70">
        <f>F45*G45+D45*E45</f>
        <v>2340</v>
      </c>
      <c r="I45" s="66"/>
      <c r="J45" s="66"/>
      <c r="K45" s="66"/>
      <c r="M45" s="66"/>
      <c r="N45" s="66"/>
      <c r="O45" s="66"/>
      <c r="P45" s="66"/>
      <c r="Q45" s="66"/>
      <c r="R45" s="66"/>
    </row>
    <row r="46" spans="1:18">
      <c r="B46" s="62" t="s">
        <v>61</v>
      </c>
      <c r="C46" s="60"/>
      <c r="H46" s="56">
        <f>SUM(H39:H45)</f>
        <v>859227.6</v>
      </c>
    </row>
    <row r="47" spans="1:18">
      <c r="A47" s="66" t="s">
        <v>70</v>
      </c>
      <c r="B47" s="53"/>
      <c r="H47" s="67">
        <f>H12+H20+H27+H34+H46</f>
        <v>10209897.6</v>
      </c>
    </row>
    <row r="48" spans="1:18">
      <c r="A48" s="66" t="s">
        <v>3</v>
      </c>
      <c r="B48" s="66"/>
      <c r="C48" s="66"/>
      <c r="D48" s="66"/>
      <c r="E48" s="66"/>
      <c r="F48" s="66"/>
      <c r="G48" s="66"/>
      <c r="H48" s="133">
        <f>H49-H47</f>
        <v>39692102.399999999</v>
      </c>
    </row>
    <row r="49" spans="1:8">
      <c r="A49" s="59" t="s">
        <v>71</v>
      </c>
      <c r="B49" s="79"/>
      <c r="C49" s="79"/>
      <c r="D49" s="79"/>
      <c r="E49" s="79"/>
      <c r="F49" s="79"/>
      <c r="G49" s="79"/>
      <c r="H49" s="134">
        <v>49902000</v>
      </c>
    </row>
    <row r="50" spans="1:8">
      <c r="H50" s="57"/>
    </row>
  </sheetData>
  <mergeCells count="8">
    <mergeCell ref="Q7:Q8"/>
    <mergeCell ref="M7:M8"/>
    <mergeCell ref="N7:N8"/>
    <mergeCell ref="K7:K8"/>
    <mergeCell ref="J7:J8"/>
    <mergeCell ref="O7:O8"/>
    <mergeCell ref="L7:L8"/>
    <mergeCell ref="P7:P8"/>
  </mergeCells>
  <phoneticPr fontId="0" type="noConversion"/>
  <pageMargins left="0.7" right="0.7" top="0.75" bottom="0.75" header="0.3" footer="0.3"/>
  <pageSetup paperSize="8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6"/>
  <sheetViews>
    <sheetView view="pageBreakPreview" zoomScale="85" zoomScaleNormal="100" zoomScaleSheetLayoutView="85" workbookViewId="0">
      <selection activeCell="B25" sqref="B25"/>
    </sheetView>
  </sheetViews>
  <sheetFormatPr defaultRowHeight="15"/>
  <cols>
    <col min="1" max="1" width="14.85546875" customWidth="1"/>
    <col min="2" max="2" width="21.5703125" customWidth="1"/>
    <col min="3" max="3" width="16.7109375" customWidth="1"/>
    <col min="4" max="5" width="8.85546875" bestFit="1" customWidth="1"/>
    <col min="6" max="6" width="13.140625" customWidth="1"/>
    <col min="8" max="8" width="13.5703125" customWidth="1"/>
    <col min="9" max="9" width="9.85546875" customWidth="1"/>
    <col min="10" max="10" width="11.85546875" customWidth="1"/>
    <col min="11" max="11" width="12.5703125" customWidth="1"/>
    <col min="12" max="12" width="13.5703125" customWidth="1"/>
    <col min="13" max="13" width="12.42578125" customWidth="1"/>
  </cols>
  <sheetData>
    <row r="1" spans="1:14" ht="18.75">
      <c r="A1" s="151" t="s">
        <v>107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45"/>
    </row>
    <row r="3" spans="1:14" ht="44.45" customHeight="1">
      <c r="A3" s="102" t="s">
        <v>44</v>
      </c>
      <c r="B3" s="102"/>
      <c r="C3" s="103" t="s">
        <v>73</v>
      </c>
      <c r="D3" s="103" t="s">
        <v>74</v>
      </c>
      <c r="E3" s="103" t="s">
        <v>75</v>
      </c>
      <c r="F3" s="103" t="s">
        <v>76</v>
      </c>
      <c r="G3" s="103"/>
      <c r="H3" s="103" t="s">
        <v>77</v>
      </c>
      <c r="I3" s="103" t="s">
        <v>84</v>
      </c>
      <c r="J3" s="103" t="s">
        <v>78</v>
      </c>
      <c r="K3" s="103" t="s">
        <v>79</v>
      </c>
      <c r="L3" s="103" t="s">
        <v>80</v>
      </c>
      <c r="M3" s="140" t="s">
        <v>109</v>
      </c>
    </row>
    <row r="4" spans="1:14" ht="15.75">
      <c r="A4" s="102" t="s">
        <v>1</v>
      </c>
      <c r="B4" s="102" t="s">
        <v>81</v>
      </c>
      <c r="C4" s="102">
        <v>2</v>
      </c>
      <c r="D4" s="104">
        <v>10000</v>
      </c>
      <c r="E4" s="104">
        <v>12</v>
      </c>
      <c r="F4" s="104">
        <f t="shared" ref="F4:F9" si="0">C4*D4*E4</f>
        <v>240000</v>
      </c>
      <c r="G4" s="104"/>
      <c r="H4" s="104">
        <f>H13/I13*I4</f>
        <v>30762.5</v>
      </c>
      <c r="I4" s="104">
        <v>1</v>
      </c>
      <c r="J4" s="104">
        <v>30850</v>
      </c>
      <c r="K4" s="104">
        <f t="shared" ref="K4:K9" si="1">I4*J4</f>
        <v>30850</v>
      </c>
      <c r="L4" s="104">
        <f>H4+K4-F4</f>
        <v>-178387.5</v>
      </c>
      <c r="M4">
        <f>ROUND(L4/1000,0)</f>
        <v>-178</v>
      </c>
    </row>
    <row r="5" spans="1:14" ht="15.75">
      <c r="A5" s="102" t="s">
        <v>4</v>
      </c>
      <c r="B5" s="102" t="s">
        <v>81</v>
      </c>
      <c r="C5" s="102">
        <v>2</v>
      </c>
      <c r="D5" s="104">
        <v>10000</v>
      </c>
      <c r="E5" s="104">
        <v>12</v>
      </c>
      <c r="F5" s="104">
        <f t="shared" si="0"/>
        <v>240000</v>
      </c>
      <c r="G5" s="104"/>
      <c r="H5" s="104">
        <f>H13/I13*I5</f>
        <v>184575</v>
      </c>
      <c r="I5" s="104">
        <v>6</v>
      </c>
      <c r="J5" s="104">
        <v>30850</v>
      </c>
      <c r="K5" s="104">
        <f t="shared" si="1"/>
        <v>185100</v>
      </c>
      <c r="L5" s="104">
        <f t="shared" ref="L5:L12" si="2">H5+K5-F5</f>
        <v>129675</v>
      </c>
      <c r="M5">
        <f t="shared" ref="M5:M13" si="3">ROUND(L5/1000,0)</f>
        <v>130</v>
      </c>
    </row>
    <row r="6" spans="1:14" ht="15.75">
      <c r="A6" s="102" t="s">
        <v>12</v>
      </c>
      <c r="B6" s="102" t="s">
        <v>81</v>
      </c>
      <c r="C6" s="102">
        <v>2</v>
      </c>
      <c r="D6" s="104">
        <v>10000</v>
      </c>
      <c r="E6" s="104">
        <v>12</v>
      </c>
      <c r="F6" s="104">
        <f t="shared" si="0"/>
        <v>240000</v>
      </c>
      <c r="G6" s="104"/>
      <c r="H6" s="104">
        <f>H13/I13*I6</f>
        <v>61525</v>
      </c>
      <c r="I6" s="104">
        <v>2</v>
      </c>
      <c r="J6" s="104">
        <v>30850</v>
      </c>
      <c r="K6" s="104">
        <f t="shared" si="1"/>
        <v>61700</v>
      </c>
      <c r="L6" s="104">
        <f t="shared" si="2"/>
        <v>-116775</v>
      </c>
      <c r="M6">
        <f t="shared" si="3"/>
        <v>-117</v>
      </c>
    </row>
    <row r="7" spans="1:14" ht="15.75">
      <c r="A7" s="102" t="s">
        <v>13</v>
      </c>
      <c r="B7" s="102" t="s">
        <v>81</v>
      </c>
      <c r="C7" s="102">
        <v>2</v>
      </c>
      <c r="D7" s="104">
        <v>10000</v>
      </c>
      <c r="E7" s="104">
        <v>12</v>
      </c>
      <c r="F7" s="104">
        <f t="shared" si="0"/>
        <v>240000</v>
      </c>
      <c r="G7" s="104"/>
      <c r="H7" s="104">
        <f>H13/I13*I7</f>
        <v>30762.5</v>
      </c>
      <c r="I7" s="104">
        <v>1</v>
      </c>
      <c r="J7" s="104">
        <v>30850</v>
      </c>
      <c r="K7" s="104">
        <f t="shared" si="1"/>
        <v>30850</v>
      </c>
      <c r="L7" s="104">
        <f t="shared" si="2"/>
        <v>-178387.5</v>
      </c>
      <c r="M7">
        <f t="shared" si="3"/>
        <v>-178</v>
      </c>
    </row>
    <row r="8" spans="1:14" ht="15.75">
      <c r="A8" s="102" t="s">
        <v>22</v>
      </c>
      <c r="B8" s="102" t="s">
        <v>81</v>
      </c>
      <c r="C8" s="102">
        <v>2</v>
      </c>
      <c r="D8" s="104">
        <v>10000</v>
      </c>
      <c r="E8" s="104">
        <v>12</v>
      </c>
      <c r="F8" s="104">
        <f t="shared" si="0"/>
        <v>240000</v>
      </c>
      <c r="G8" s="104"/>
      <c r="H8" s="104">
        <f>H13/I13*I8</f>
        <v>92287.5</v>
      </c>
      <c r="I8" s="104">
        <v>3</v>
      </c>
      <c r="J8" s="104">
        <v>30850</v>
      </c>
      <c r="K8" s="104">
        <f t="shared" si="1"/>
        <v>92550</v>
      </c>
      <c r="L8" s="104">
        <f t="shared" si="2"/>
        <v>-55162.5</v>
      </c>
      <c r="M8">
        <f t="shared" si="3"/>
        <v>-55</v>
      </c>
    </row>
    <row r="9" spans="1:14" ht="15.75">
      <c r="A9" s="102" t="s">
        <v>23</v>
      </c>
      <c r="B9" s="102" t="s">
        <v>81</v>
      </c>
      <c r="C9" s="102">
        <v>2</v>
      </c>
      <c r="D9" s="104">
        <v>10000</v>
      </c>
      <c r="E9" s="104">
        <v>12</v>
      </c>
      <c r="F9" s="104">
        <f t="shared" si="0"/>
        <v>240000</v>
      </c>
      <c r="G9" s="104"/>
      <c r="H9" s="104">
        <f>H13/I13*I9</f>
        <v>61525</v>
      </c>
      <c r="I9" s="104">
        <v>2</v>
      </c>
      <c r="J9" s="104">
        <v>30850</v>
      </c>
      <c r="K9" s="104">
        <f t="shared" si="1"/>
        <v>61700</v>
      </c>
      <c r="L9" s="104">
        <f t="shared" si="2"/>
        <v>-116775</v>
      </c>
      <c r="M9">
        <f t="shared" si="3"/>
        <v>-117</v>
      </c>
    </row>
    <row r="10" spans="1:14" ht="15.75">
      <c r="A10" s="102" t="s">
        <v>108</v>
      </c>
      <c r="B10" s="102"/>
      <c r="C10" s="102">
        <v>9714000</v>
      </c>
      <c r="D10" s="104">
        <v>80</v>
      </c>
      <c r="E10" s="104"/>
      <c r="F10" s="104">
        <f>C10/D10*I10</f>
        <v>607125</v>
      </c>
      <c r="G10" s="104"/>
      <c r="H10" s="104">
        <f>H13/I13*I10</f>
        <v>153812.5</v>
      </c>
      <c r="I10" s="104">
        <v>5</v>
      </c>
      <c r="J10" s="104">
        <v>30850</v>
      </c>
      <c r="K10" s="104">
        <f>I10*J10</f>
        <v>154250</v>
      </c>
      <c r="L10" s="104">
        <f t="shared" si="2"/>
        <v>-299062.5</v>
      </c>
      <c r="M10">
        <f t="shared" si="3"/>
        <v>-299</v>
      </c>
    </row>
    <row r="11" spans="1:14" ht="15.75">
      <c r="A11" s="102"/>
      <c r="B11" s="102"/>
      <c r="C11" s="102"/>
      <c r="D11" s="104"/>
      <c r="E11" s="104"/>
      <c r="F11" s="104"/>
      <c r="G11" s="104"/>
      <c r="H11" s="104"/>
      <c r="I11" s="104"/>
      <c r="J11" s="104"/>
      <c r="K11" s="104"/>
      <c r="L11" s="104">
        <f t="shared" si="2"/>
        <v>0</v>
      </c>
      <c r="M11">
        <f t="shared" si="3"/>
        <v>0</v>
      </c>
    </row>
    <row r="12" spans="1:14" ht="15.75">
      <c r="A12" s="102" t="s">
        <v>83</v>
      </c>
      <c r="B12" s="102"/>
      <c r="C12" s="102"/>
      <c r="D12" s="102"/>
      <c r="E12" s="102"/>
      <c r="F12" s="104">
        <f>F13-F4-F5-F6-F7-F8-F9-F10</f>
        <v>7666875</v>
      </c>
      <c r="G12" s="102"/>
      <c r="H12" s="104">
        <f>H13/I13*I12</f>
        <v>1845750</v>
      </c>
      <c r="I12" s="104">
        <v>60</v>
      </c>
      <c r="J12" s="104">
        <v>30850</v>
      </c>
      <c r="K12" s="102">
        <f>I12*J12</f>
        <v>1851000</v>
      </c>
      <c r="L12" s="104">
        <f t="shared" si="2"/>
        <v>-3970125</v>
      </c>
      <c r="M12">
        <f>ROUND(L12/1000,0)-1</f>
        <v>-3971</v>
      </c>
      <c r="N12">
        <f>M4+M5+M6+M7+M8+M9+M10+M12</f>
        <v>-4785</v>
      </c>
    </row>
    <row r="13" spans="1:14" ht="15.75">
      <c r="A13" s="141" t="s">
        <v>82</v>
      </c>
      <c r="B13" s="142"/>
      <c r="C13" s="142"/>
      <c r="D13" s="142"/>
      <c r="E13" s="142"/>
      <c r="F13" s="143">
        <v>9714000</v>
      </c>
      <c r="G13" s="142"/>
      <c r="H13" s="143">
        <v>2461000</v>
      </c>
      <c r="I13" s="143">
        <f>SUM(I4:I12)</f>
        <v>80</v>
      </c>
      <c r="J13" s="142"/>
      <c r="K13" s="143">
        <f>SUM(K4:K12)</f>
        <v>2468000</v>
      </c>
      <c r="L13" s="143">
        <f>SUM(L4:L12)</f>
        <v>-4785000</v>
      </c>
      <c r="M13" s="144">
        <f t="shared" si="3"/>
        <v>-4785</v>
      </c>
    </row>
    <row r="16" spans="1:14">
      <c r="H16" s="113"/>
    </row>
  </sheetData>
  <mergeCells count="1">
    <mergeCell ref="A1:L1"/>
  </mergeCells>
  <phoneticPr fontId="0" type="noConversion"/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67"/>
  <sheetViews>
    <sheetView tabSelected="1" view="pageBreakPreview" topLeftCell="E7" zoomScale="60" zoomScaleNormal="100" workbookViewId="0">
      <selection activeCell="I28" sqref="I28"/>
    </sheetView>
  </sheetViews>
  <sheetFormatPr defaultColWidth="8.7109375" defaultRowHeight="15"/>
  <cols>
    <col min="1" max="8" width="13.85546875" customWidth="1"/>
    <col min="9" max="9" width="15.85546875" customWidth="1"/>
    <col min="10" max="18" width="13.85546875" customWidth="1"/>
    <col min="19" max="19" width="14.85546875" customWidth="1"/>
    <col min="20" max="20" width="16.140625" customWidth="1"/>
    <col min="21" max="22" width="13.85546875" customWidth="1"/>
  </cols>
  <sheetData>
    <row r="1" spans="1:25" ht="24" thickBot="1">
      <c r="A1" s="152" t="s">
        <v>85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4"/>
      <c r="W1" s="42"/>
    </row>
    <row r="2" spans="1: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 t="s">
        <v>72</v>
      </c>
      <c r="U2" s="2"/>
      <c r="V2" s="2"/>
      <c r="W2" s="3"/>
    </row>
    <row r="3" spans="1:25" ht="114.75">
      <c r="A3" s="4" t="s">
        <v>0</v>
      </c>
      <c r="B3" s="5" t="s">
        <v>87</v>
      </c>
      <c r="C3" s="6" t="s">
        <v>27</v>
      </c>
      <c r="D3" s="6" t="s">
        <v>28</v>
      </c>
      <c r="E3" s="6" t="s">
        <v>29</v>
      </c>
      <c r="F3" s="6" t="s">
        <v>28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28</v>
      </c>
      <c r="M3" s="7" t="s">
        <v>35</v>
      </c>
      <c r="N3" s="7" t="s">
        <v>28</v>
      </c>
      <c r="O3" s="6" t="s">
        <v>36</v>
      </c>
      <c r="P3" s="6" t="s">
        <v>28</v>
      </c>
      <c r="Q3" s="6" t="s">
        <v>37</v>
      </c>
      <c r="R3" s="6" t="s">
        <v>38</v>
      </c>
      <c r="S3" s="6" t="s">
        <v>28</v>
      </c>
      <c r="T3" s="6" t="s">
        <v>39</v>
      </c>
      <c r="U3" s="112" t="s">
        <v>110</v>
      </c>
    </row>
    <row r="4" spans="1:25" ht="30">
      <c r="A4" s="8" t="s">
        <v>40</v>
      </c>
      <c r="B4" s="9"/>
      <c r="C4" s="117">
        <v>104</v>
      </c>
      <c r="D4" s="118"/>
      <c r="E4" s="117">
        <v>20279</v>
      </c>
      <c r="F4" s="119"/>
      <c r="G4" s="119"/>
      <c r="H4" s="119">
        <v>6158</v>
      </c>
      <c r="I4" s="119"/>
      <c r="J4" s="119">
        <v>2461</v>
      </c>
      <c r="K4" s="119"/>
      <c r="L4" s="119"/>
      <c r="M4" s="120">
        <v>17205</v>
      </c>
      <c r="N4" s="120"/>
      <c r="O4" s="119">
        <v>93</v>
      </c>
      <c r="P4" s="119"/>
      <c r="Q4" s="121">
        <v>0</v>
      </c>
      <c r="R4" s="121">
        <v>0</v>
      </c>
      <c r="S4" s="121"/>
      <c r="T4" s="122">
        <f>SUM(C4:R4)</f>
        <v>46300</v>
      </c>
      <c r="U4" s="113">
        <v>46300</v>
      </c>
    </row>
    <row r="5" spans="1:25" ht="30">
      <c r="A5" s="8" t="s">
        <v>41</v>
      </c>
      <c r="B5" s="10"/>
      <c r="C5" s="123">
        <v>18000</v>
      </c>
      <c r="D5" s="124"/>
      <c r="E5" s="123">
        <v>20572</v>
      </c>
      <c r="F5" s="124"/>
      <c r="G5" s="125"/>
      <c r="H5" s="125">
        <v>26598</v>
      </c>
      <c r="I5" s="125"/>
      <c r="J5" s="125"/>
      <c r="K5" s="125"/>
      <c r="L5" s="125"/>
      <c r="M5" s="125">
        <v>25831</v>
      </c>
      <c r="N5" s="125"/>
      <c r="O5" s="125">
        <v>4250</v>
      </c>
      <c r="P5" s="125"/>
      <c r="Q5" s="125">
        <v>38080</v>
      </c>
      <c r="R5" s="125">
        <v>34807</v>
      </c>
      <c r="S5" s="126"/>
      <c r="T5" s="122">
        <f>SUM(C5:R5)</f>
        <v>168138</v>
      </c>
      <c r="U5" s="113">
        <v>168138</v>
      </c>
    </row>
    <row r="6" spans="1:25" ht="15.75">
      <c r="A6" s="45" t="s">
        <v>42</v>
      </c>
      <c r="B6" s="46"/>
      <c r="C6" s="123"/>
      <c r="D6" s="124"/>
      <c r="E6" s="123"/>
      <c r="F6" s="124"/>
      <c r="G6" s="125"/>
      <c r="H6" s="125"/>
      <c r="I6" s="125"/>
      <c r="J6" s="125">
        <v>2468</v>
      </c>
      <c r="K6" s="125"/>
      <c r="L6" s="125"/>
      <c r="M6" s="125">
        <v>1258</v>
      </c>
      <c r="N6" s="125"/>
      <c r="O6" s="125"/>
      <c r="P6" s="125"/>
      <c r="Q6" s="125"/>
      <c r="R6" s="125"/>
      <c r="S6" s="127"/>
      <c r="T6" s="122">
        <f>SUM(C6:R6)</f>
        <v>3726</v>
      </c>
      <c r="U6" s="114">
        <v>3726</v>
      </c>
      <c r="V6" s="40"/>
      <c r="W6" s="40"/>
      <c r="X6" s="40"/>
      <c r="Y6" s="40"/>
    </row>
    <row r="7" spans="1:25" ht="30">
      <c r="A7" s="8" t="s">
        <v>43</v>
      </c>
      <c r="B7" s="11"/>
      <c r="C7" s="128">
        <f>SUM(C4:C6)</f>
        <v>18104</v>
      </c>
      <c r="D7" s="129">
        <f t="shared" ref="D7:T7" si="0">SUM(D4:D6)</f>
        <v>0</v>
      </c>
      <c r="E7" s="128">
        <f t="shared" si="0"/>
        <v>40851</v>
      </c>
      <c r="F7" s="129">
        <f t="shared" si="0"/>
        <v>0</v>
      </c>
      <c r="G7" s="129">
        <f t="shared" si="0"/>
        <v>0</v>
      </c>
      <c r="H7" s="129">
        <f t="shared" si="0"/>
        <v>32756</v>
      </c>
      <c r="I7" s="129">
        <f t="shared" si="0"/>
        <v>0</v>
      </c>
      <c r="J7" s="129">
        <f t="shared" si="0"/>
        <v>4929</v>
      </c>
      <c r="K7" s="129">
        <f t="shared" si="0"/>
        <v>0</v>
      </c>
      <c r="L7" s="129">
        <f t="shared" si="0"/>
        <v>0</v>
      </c>
      <c r="M7" s="129">
        <f t="shared" si="0"/>
        <v>44294</v>
      </c>
      <c r="N7" s="129">
        <f t="shared" si="0"/>
        <v>0</v>
      </c>
      <c r="O7" s="129">
        <f t="shared" si="0"/>
        <v>4343</v>
      </c>
      <c r="P7" s="129">
        <f t="shared" si="0"/>
        <v>0</v>
      </c>
      <c r="Q7" s="129">
        <f t="shared" si="0"/>
        <v>38080</v>
      </c>
      <c r="R7" s="129">
        <f t="shared" si="0"/>
        <v>34807</v>
      </c>
      <c r="S7" s="129">
        <f t="shared" si="0"/>
        <v>0</v>
      </c>
      <c r="T7" s="129">
        <f t="shared" si="0"/>
        <v>218164</v>
      </c>
      <c r="U7" s="115">
        <v>218164</v>
      </c>
      <c r="V7" s="12"/>
      <c r="W7" s="12"/>
      <c r="X7" s="12"/>
      <c r="Y7" s="12"/>
    </row>
    <row r="8" spans="1:25" ht="15.75">
      <c r="A8" s="8" t="s">
        <v>44</v>
      </c>
      <c r="B8" s="9"/>
      <c r="C8" s="130">
        <v>18443</v>
      </c>
      <c r="D8" s="131"/>
      <c r="E8" s="130">
        <v>39006</v>
      </c>
      <c r="F8" s="132"/>
      <c r="G8" s="131"/>
      <c r="H8" s="131">
        <v>49902</v>
      </c>
      <c r="I8" s="131"/>
      <c r="J8" s="131">
        <v>9714</v>
      </c>
      <c r="K8" s="131"/>
      <c r="L8" s="131"/>
      <c r="M8" s="131">
        <v>53856</v>
      </c>
      <c r="N8" s="131"/>
      <c r="O8" s="131">
        <v>6625</v>
      </c>
      <c r="P8" s="131"/>
      <c r="Q8" s="131">
        <v>37254</v>
      </c>
      <c r="R8" s="131">
        <v>46922</v>
      </c>
      <c r="S8" s="125"/>
      <c r="T8" s="122">
        <f>SUM(C8:R8)</f>
        <v>261722</v>
      </c>
      <c r="U8" s="68">
        <v>261722</v>
      </c>
    </row>
    <row r="9" spans="1:25" ht="30">
      <c r="A9" s="13" t="s">
        <v>45</v>
      </c>
      <c r="B9" s="14"/>
      <c r="C9" s="59"/>
      <c r="D9" s="15">
        <f>C7-C8</f>
        <v>-339</v>
      </c>
      <c r="E9" s="59"/>
      <c r="F9" s="16">
        <f>E7-E8</f>
        <v>1845</v>
      </c>
      <c r="G9" s="16"/>
      <c r="H9" s="16"/>
      <c r="I9" s="17">
        <f>H7-H8</f>
        <v>-17146</v>
      </c>
      <c r="J9" s="16"/>
      <c r="K9" s="16"/>
      <c r="L9" s="16">
        <f>J7-J8</f>
        <v>-4785</v>
      </c>
      <c r="M9" s="16"/>
      <c r="N9" s="16">
        <f>M7-M8</f>
        <v>-9562</v>
      </c>
      <c r="O9" s="16"/>
      <c r="P9" s="16">
        <f>O7-O8</f>
        <v>-2282</v>
      </c>
      <c r="Q9" s="16">
        <f>Q7-Q8</f>
        <v>826</v>
      </c>
      <c r="R9" s="16">
        <f>R7-R8</f>
        <v>-12115</v>
      </c>
      <c r="S9" s="18">
        <f>Q9+R9</f>
        <v>-11289</v>
      </c>
      <c r="T9" s="107">
        <f>SUM(C9:R9)</f>
        <v>-43558</v>
      </c>
      <c r="U9" s="116">
        <v>43558</v>
      </c>
      <c r="V9" s="60"/>
      <c r="W9" s="60"/>
      <c r="X9" s="60"/>
      <c r="Y9" s="60"/>
    </row>
    <row r="10" spans="1:25" ht="15.75">
      <c r="A10" s="8"/>
      <c r="B10" s="9"/>
      <c r="C10" s="1"/>
      <c r="D10" s="1"/>
      <c r="E10" s="1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61"/>
      <c r="R10" s="61"/>
      <c r="S10" s="55"/>
      <c r="T10" s="84"/>
      <c r="U10" s="155"/>
      <c r="V10" s="155"/>
    </row>
    <row r="11" spans="1:25" ht="15.75">
      <c r="A11" s="8"/>
      <c r="B11" s="9"/>
      <c r="C11" s="1"/>
      <c r="D11" s="1"/>
      <c r="E11" s="1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61"/>
      <c r="R11" s="61"/>
      <c r="S11" s="55"/>
      <c r="T11" s="84"/>
      <c r="U11" s="155"/>
      <c r="V11" s="155"/>
    </row>
    <row r="12" spans="1:25" ht="16.5">
      <c r="A12" s="19" t="s">
        <v>1</v>
      </c>
      <c r="B12" s="92">
        <v>1029</v>
      </c>
      <c r="C12" s="20" t="s">
        <v>46</v>
      </c>
      <c r="D12" s="21">
        <f>ROUND($D$9/$B$40*B12,0)</f>
        <v>-13</v>
      </c>
      <c r="E12" s="20" t="s">
        <v>46</v>
      </c>
      <c r="F12" s="20"/>
      <c r="G12" s="20" t="s">
        <v>46</v>
      </c>
      <c r="H12" s="94"/>
      <c r="I12" s="22"/>
      <c r="J12" s="20" t="s">
        <v>46</v>
      </c>
      <c r="K12" s="20">
        <v>1</v>
      </c>
      <c r="L12" s="21">
        <v>-178</v>
      </c>
      <c r="M12" s="23" t="s">
        <v>47</v>
      </c>
      <c r="N12" s="23"/>
      <c r="O12" s="23" t="s">
        <v>47</v>
      </c>
      <c r="P12" s="23"/>
      <c r="Q12" s="24" t="s">
        <v>46</v>
      </c>
      <c r="R12" s="25" t="s">
        <v>46</v>
      </c>
      <c r="S12" s="26">
        <f>ROUND($S$9/$B$37*B12,0)</f>
        <v>-378</v>
      </c>
      <c r="T12" s="27">
        <f>D12+F12+I12+L12+S12+N12+P12</f>
        <v>-569</v>
      </c>
      <c r="U12" s="85"/>
      <c r="V12" s="86"/>
    </row>
    <row r="13" spans="1:25" ht="16.5">
      <c r="A13" s="19" t="s">
        <v>2</v>
      </c>
      <c r="B13" s="92">
        <v>409</v>
      </c>
      <c r="C13" s="20" t="s">
        <v>46</v>
      </c>
      <c r="D13" s="21">
        <f>ROUND($D$9/$B$40*B13,0)</f>
        <v>-5</v>
      </c>
      <c r="E13" s="20" t="s">
        <v>46</v>
      </c>
      <c r="F13" s="20"/>
      <c r="G13" s="20" t="s">
        <v>46</v>
      </c>
      <c r="H13" s="94"/>
      <c r="I13" s="22"/>
      <c r="J13" s="20" t="s">
        <v>46</v>
      </c>
      <c r="K13" s="20"/>
      <c r="L13" s="21"/>
      <c r="M13" s="23" t="s">
        <v>47</v>
      </c>
      <c r="N13" s="23"/>
      <c r="O13" s="23" t="s">
        <v>47</v>
      </c>
      <c r="P13" s="23"/>
      <c r="Q13" s="24" t="s">
        <v>46</v>
      </c>
      <c r="R13" s="25" t="s">
        <v>46</v>
      </c>
      <c r="S13" s="26">
        <f t="shared" ref="S13:S36" si="1">ROUND($S$9/$B$37*B13,0)</f>
        <v>-150</v>
      </c>
      <c r="T13" s="27">
        <f>D13+F13+I13+L13+S13+N13+P13</f>
        <v>-155</v>
      </c>
      <c r="U13" s="85"/>
      <c r="V13" s="86"/>
    </row>
    <row r="14" spans="1:25" ht="16.5">
      <c r="A14" s="19" t="s">
        <v>3</v>
      </c>
      <c r="B14" s="92">
        <v>13060</v>
      </c>
      <c r="C14" s="20" t="s">
        <v>46</v>
      </c>
      <c r="D14" s="21">
        <f>ROUND($D$9/$B$40*B14,0)-3</f>
        <v>-165</v>
      </c>
      <c r="E14" s="20" t="s">
        <v>46</v>
      </c>
      <c r="F14" s="22">
        <v>1845</v>
      </c>
      <c r="G14" s="20" t="s">
        <v>46</v>
      </c>
      <c r="H14" s="97">
        <v>37.200000000000003</v>
      </c>
      <c r="I14" s="39">
        <v>-17146</v>
      </c>
      <c r="J14" s="20" t="s">
        <v>46</v>
      </c>
      <c r="K14" s="20">
        <v>60</v>
      </c>
      <c r="L14" s="21">
        <v>-3841</v>
      </c>
      <c r="M14" s="20" t="s">
        <v>46</v>
      </c>
      <c r="N14" s="22">
        <f>N9</f>
        <v>-9562</v>
      </c>
      <c r="O14" s="20" t="s">
        <v>46</v>
      </c>
      <c r="P14" s="22">
        <f>P9</f>
        <v>-2282</v>
      </c>
      <c r="Q14" s="24" t="s">
        <v>46</v>
      </c>
      <c r="R14" s="25" t="s">
        <v>46</v>
      </c>
      <c r="S14" s="26">
        <f>ROUND($S$9/$B$37*B14,0)</f>
        <v>-4797</v>
      </c>
      <c r="T14" s="27">
        <f>D14+F14+I14+L14+S14+N14+P14</f>
        <v>-35948</v>
      </c>
      <c r="U14" s="85"/>
      <c r="V14" s="86"/>
    </row>
    <row r="15" spans="1:25" ht="16.5">
      <c r="A15" s="19" t="s">
        <v>4</v>
      </c>
      <c r="B15" s="92">
        <v>442</v>
      </c>
      <c r="C15" s="20" t="s">
        <v>46</v>
      </c>
      <c r="D15" s="21">
        <f>ROUND($D$9/$B$40*B15,0)</f>
        <v>-5</v>
      </c>
      <c r="E15" s="20" t="s">
        <v>46</v>
      </c>
      <c r="F15" s="20"/>
      <c r="G15" s="20" t="s">
        <v>46</v>
      </c>
      <c r="H15" s="97"/>
      <c r="I15" s="22"/>
      <c r="J15" s="20" t="s">
        <v>46</v>
      </c>
      <c r="K15" s="20">
        <v>6</v>
      </c>
      <c r="L15" s="21">
        <v>0</v>
      </c>
      <c r="M15" s="23" t="s">
        <v>47</v>
      </c>
      <c r="N15" s="23"/>
      <c r="O15" s="23" t="s">
        <v>47</v>
      </c>
      <c r="P15" s="23"/>
      <c r="Q15" s="24" t="s">
        <v>46</v>
      </c>
      <c r="R15" s="25" t="s">
        <v>46</v>
      </c>
      <c r="S15" s="26">
        <f t="shared" si="1"/>
        <v>-162</v>
      </c>
      <c r="T15" s="27">
        <f t="shared" ref="T15:T35" si="2">D15+F15+I15+L15+S15+N15+P15</f>
        <v>-167</v>
      </c>
      <c r="U15" s="85"/>
      <c r="V15" s="86"/>
    </row>
    <row r="16" spans="1:25" ht="16.5">
      <c r="A16" s="19" t="s">
        <v>5</v>
      </c>
      <c r="B16" s="92">
        <v>910</v>
      </c>
      <c r="C16" s="20" t="s">
        <v>46</v>
      </c>
      <c r="D16" s="21">
        <f>ROUND($D$9/$B$40*B16,0)</f>
        <v>-11</v>
      </c>
      <c r="E16" s="20" t="s">
        <v>46</v>
      </c>
      <c r="F16" s="20"/>
      <c r="G16" s="20" t="s">
        <v>46</v>
      </c>
      <c r="H16" s="97">
        <v>3.7</v>
      </c>
      <c r="I16" s="39"/>
      <c r="J16" s="20" t="s">
        <v>46</v>
      </c>
      <c r="K16" s="20"/>
      <c r="L16" s="21"/>
      <c r="M16" s="23" t="s">
        <v>47</v>
      </c>
      <c r="N16" s="23"/>
      <c r="O16" s="23" t="s">
        <v>47</v>
      </c>
      <c r="P16" s="23"/>
      <c r="Q16" s="24" t="s">
        <v>46</v>
      </c>
      <c r="R16" s="25" t="s">
        <v>46</v>
      </c>
      <c r="S16" s="26">
        <f t="shared" si="1"/>
        <v>-334</v>
      </c>
      <c r="T16" s="27">
        <f t="shared" si="2"/>
        <v>-345</v>
      </c>
      <c r="U16" s="85"/>
      <c r="V16" s="86"/>
    </row>
    <row r="17" spans="1:22" ht="16.5">
      <c r="A17" s="19" t="s">
        <v>6</v>
      </c>
      <c r="B17" s="92">
        <v>637</v>
      </c>
      <c r="C17" s="23" t="s">
        <v>47</v>
      </c>
      <c r="D17" s="28"/>
      <c r="E17" s="23" t="s">
        <v>47</v>
      </c>
      <c r="F17" s="23"/>
      <c r="G17" s="80" t="s">
        <v>47</v>
      </c>
      <c r="H17" s="98"/>
      <c r="I17" s="81"/>
      <c r="J17" s="80" t="s">
        <v>47</v>
      </c>
      <c r="K17" s="23"/>
      <c r="L17" s="28"/>
      <c r="M17" s="23" t="s">
        <v>47</v>
      </c>
      <c r="N17" s="23"/>
      <c r="O17" s="23" t="s">
        <v>47</v>
      </c>
      <c r="P17" s="23"/>
      <c r="Q17" s="24" t="s">
        <v>46</v>
      </c>
      <c r="R17" s="25" t="s">
        <v>46</v>
      </c>
      <c r="S17" s="26">
        <f t="shared" si="1"/>
        <v>-234</v>
      </c>
      <c r="T17" s="27">
        <f t="shared" si="2"/>
        <v>-234</v>
      </c>
      <c r="U17" s="85"/>
      <c r="V17" s="86"/>
    </row>
    <row r="18" spans="1:22" ht="16.5">
      <c r="A18" s="19" t="s">
        <v>7</v>
      </c>
      <c r="B18" s="92">
        <v>171</v>
      </c>
      <c r="C18" s="20" t="s">
        <v>46</v>
      </c>
      <c r="D18" s="21">
        <f>ROUND($D$9/$B$40*B18,0)</f>
        <v>-2</v>
      </c>
      <c r="E18" s="25" t="s">
        <v>46</v>
      </c>
      <c r="F18" s="25"/>
      <c r="G18" s="20" t="s">
        <v>46</v>
      </c>
      <c r="H18" s="97"/>
      <c r="I18" s="39"/>
      <c r="J18" s="20" t="s">
        <v>46</v>
      </c>
      <c r="K18" s="20"/>
      <c r="L18" s="21"/>
      <c r="M18" s="23" t="s">
        <v>47</v>
      </c>
      <c r="N18" s="23"/>
      <c r="O18" s="23" t="s">
        <v>47</v>
      </c>
      <c r="P18" s="23"/>
      <c r="Q18" s="24" t="s">
        <v>46</v>
      </c>
      <c r="R18" s="25" t="s">
        <v>46</v>
      </c>
      <c r="S18" s="26">
        <f t="shared" si="1"/>
        <v>-63</v>
      </c>
      <c r="T18" s="27">
        <f t="shared" si="2"/>
        <v>-65</v>
      </c>
      <c r="U18" s="85"/>
      <c r="V18" s="86"/>
    </row>
    <row r="19" spans="1:22" ht="16.5">
      <c r="A19" s="19" t="s">
        <v>8</v>
      </c>
      <c r="B19" s="92">
        <v>659</v>
      </c>
      <c r="C19" s="20" t="s">
        <v>46</v>
      </c>
      <c r="D19" s="21">
        <f>ROUND($D$9/$B$40*B19,0)</f>
        <v>-8</v>
      </c>
      <c r="E19" s="20" t="s">
        <v>46</v>
      </c>
      <c r="F19" s="25"/>
      <c r="G19" s="20" t="s">
        <v>46</v>
      </c>
      <c r="H19" s="97"/>
      <c r="I19" s="22"/>
      <c r="J19" s="20" t="s">
        <v>46</v>
      </c>
      <c r="K19" s="20"/>
      <c r="L19" s="21"/>
      <c r="M19" s="23" t="s">
        <v>47</v>
      </c>
      <c r="N19" s="23"/>
      <c r="O19" s="23" t="s">
        <v>47</v>
      </c>
      <c r="P19" s="23"/>
      <c r="Q19" s="24" t="s">
        <v>46</v>
      </c>
      <c r="R19" s="25" t="s">
        <v>46</v>
      </c>
      <c r="S19" s="26">
        <f t="shared" si="1"/>
        <v>-242</v>
      </c>
      <c r="T19" s="27">
        <f t="shared" si="2"/>
        <v>-250</v>
      </c>
      <c r="U19" s="85"/>
      <c r="V19" s="86"/>
    </row>
    <row r="20" spans="1:22" ht="16.5">
      <c r="A20" s="19" t="s">
        <v>9</v>
      </c>
      <c r="B20" s="92">
        <v>509</v>
      </c>
      <c r="C20" s="20" t="s">
        <v>46</v>
      </c>
      <c r="D20" s="21">
        <f>ROUND($D$9/$B$40*B20,0)</f>
        <v>-6</v>
      </c>
      <c r="E20" s="20" t="s">
        <v>46</v>
      </c>
      <c r="F20" s="25"/>
      <c r="G20" s="20" t="s">
        <v>46</v>
      </c>
      <c r="H20" s="97"/>
      <c r="I20" s="22"/>
      <c r="J20" s="20" t="s">
        <v>46</v>
      </c>
      <c r="K20" s="20"/>
      <c r="L20" s="21"/>
      <c r="M20" s="23" t="s">
        <v>47</v>
      </c>
      <c r="N20" s="23"/>
      <c r="O20" s="23" t="s">
        <v>47</v>
      </c>
      <c r="P20" s="23"/>
      <c r="Q20" s="24" t="s">
        <v>46</v>
      </c>
      <c r="R20" s="25" t="s">
        <v>46</v>
      </c>
      <c r="S20" s="26">
        <f t="shared" si="1"/>
        <v>-187</v>
      </c>
      <c r="T20" s="27">
        <f t="shared" si="2"/>
        <v>-193</v>
      </c>
      <c r="U20" s="85"/>
      <c r="V20" s="86"/>
    </row>
    <row r="21" spans="1:22" ht="16.5">
      <c r="A21" s="19" t="s">
        <v>10</v>
      </c>
      <c r="B21" s="92">
        <v>1715</v>
      </c>
      <c r="C21" s="20" t="s">
        <v>46</v>
      </c>
      <c r="D21" s="21">
        <f>ROUND($D$9/$B$40*B21,0)</f>
        <v>-21</v>
      </c>
      <c r="E21" s="20" t="s">
        <v>46</v>
      </c>
      <c r="F21" s="25"/>
      <c r="G21" s="20" t="s">
        <v>46</v>
      </c>
      <c r="H21" s="97">
        <v>1.9</v>
      </c>
      <c r="I21" s="22"/>
      <c r="J21" s="20" t="s">
        <v>46</v>
      </c>
      <c r="K21" s="20"/>
      <c r="L21" s="21"/>
      <c r="M21" s="23" t="s">
        <v>47</v>
      </c>
      <c r="N21" s="23"/>
      <c r="O21" s="23" t="s">
        <v>47</v>
      </c>
      <c r="P21" s="23"/>
      <c r="Q21" s="24" t="s">
        <v>46</v>
      </c>
      <c r="R21" s="25" t="s">
        <v>46</v>
      </c>
      <c r="S21" s="26">
        <f t="shared" si="1"/>
        <v>-630</v>
      </c>
      <c r="T21" s="27">
        <f t="shared" si="2"/>
        <v>-651</v>
      </c>
      <c r="U21" s="85"/>
      <c r="V21" s="86"/>
    </row>
    <row r="22" spans="1:22" ht="16.5">
      <c r="A22" s="19" t="s">
        <v>11</v>
      </c>
      <c r="B22" s="92">
        <v>704</v>
      </c>
      <c r="C22" s="23" t="s">
        <v>47</v>
      </c>
      <c r="D22" s="28"/>
      <c r="E22" s="23" t="s">
        <v>47</v>
      </c>
      <c r="F22" s="23"/>
      <c r="G22" s="80" t="s">
        <v>47</v>
      </c>
      <c r="H22" s="99"/>
      <c r="I22" s="81"/>
      <c r="J22" s="80" t="s">
        <v>47</v>
      </c>
      <c r="K22" s="23"/>
      <c r="L22" s="28"/>
      <c r="M22" s="23" t="s">
        <v>47</v>
      </c>
      <c r="N22" s="23"/>
      <c r="O22" s="23" t="s">
        <v>47</v>
      </c>
      <c r="P22" s="23"/>
      <c r="Q22" s="24" t="s">
        <v>46</v>
      </c>
      <c r="R22" s="25" t="s">
        <v>46</v>
      </c>
      <c r="S22" s="26">
        <f t="shared" si="1"/>
        <v>-259</v>
      </c>
      <c r="T22" s="27">
        <f t="shared" si="2"/>
        <v>-259</v>
      </c>
      <c r="U22" s="85"/>
      <c r="V22" s="86"/>
    </row>
    <row r="23" spans="1:22" ht="16.5">
      <c r="A23" s="19" t="s">
        <v>12</v>
      </c>
      <c r="B23" s="92">
        <v>730</v>
      </c>
      <c r="C23" s="20" t="s">
        <v>46</v>
      </c>
      <c r="D23" s="21">
        <f t="shared" ref="D23:D29" si="3">ROUND($D$9/$B$40*B23,0)</f>
        <v>-9</v>
      </c>
      <c r="E23" s="20" t="s">
        <v>46</v>
      </c>
      <c r="F23" s="20"/>
      <c r="G23" s="20" t="s">
        <v>46</v>
      </c>
      <c r="H23" s="97"/>
      <c r="I23" s="22"/>
      <c r="J23" s="20" t="s">
        <v>46</v>
      </c>
      <c r="K23" s="20">
        <v>2</v>
      </c>
      <c r="L23" s="21">
        <v>-117</v>
      </c>
      <c r="M23" s="23" t="s">
        <v>47</v>
      </c>
      <c r="N23" s="23"/>
      <c r="O23" s="23" t="s">
        <v>47</v>
      </c>
      <c r="P23" s="23"/>
      <c r="Q23" s="24" t="s">
        <v>46</v>
      </c>
      <c r="R23" s="25" t="s">
        <v>46</v>
      </c>
      <c r="S23" s="26">
        <f t="shared" si="1"/>
        <v>-268</v>
      </c>
      <c r="T23" s="27">
        <f t="shared" si="2"/>
        <v>-394</v>
      </c>
      <c r="U23" s="85"/>
      <c r="V23" s="86"/>
    </row>
    <row r="24" spans="1:22" ht="16.5">
      <c r="A24" s="19" t="s">
        <v>13</v>
      </c>
      <c r="B24" s="92">
        <v>331</v>
      </c>
      <c r="C24" s="20" t="s">
        <v>46</v>
      </c>
      <c r="D24" s="21">
        <f t="shared" si="3"/>
        <v>-4</v>
      </c>
      <c r="E24" s="20" t="s">
        <v>46</v>
      </c>
      <c r="F24" s="20"/>
      <c r="G24" s="20" t="s">
        <v>46</v>
      </c>
      <c r="H24" s="97"/>
      <c r="I24" s="22"/>
      <c r="J24" s="20" t="s">
        <v>46</v>
      </c>
      <c r="K24" s="20">
        <v>1</v>
      </c>
      <c r="L24" s="21">
        <v>-178</v>
      </c>
      <c r="M24" s="23" t="s">
        <v>47</v>
      </c>
      <c r="N24" s="23"/>
      <c r="O24" s="23" t="s">
        <v>47</v>
      </c>
      <c r="P24" s="23"/>
      <c r="Q24" s="24" t="s">
        <v>46</v>
      </c>
      <c r="R24" s="25" t="s">
        <v>46</v>
      </c>
      <c r="S24" s="26">
        <f t="shared" si="1"/>
        <v>-122</v>
      </c>
      <c r="T24" s="27">
        <f t="shared" si="2"/>
        <v>-304</v>
      </c>
      <c r="U24" s="85"/>
      <c r="V24" s="86"/>
    </row>
    <row r="25" spans="1:22" ht="16.5">
      <c r="A25" s="19" t="s">
        <v>14</v>
      </c>
      <c r="B25" s="92">
        <v>419</v>
      </c>
      <c r="C25" s="20" t="s">
        <v>46</v>
      </c>
      <c r="D25" s="21">
        <f t="shared" si="3"/>
        <v>-5</v>
      </c>
      <c r="E25" s="20" t="s">
        <v>46</v>
      </c>
      <c r="F25" s="20"/>
      <c r="G25" s="20" t="s">
        <v>46</v>
      </c>
      <c r="H25" s="97"/>
      <c r="I25" s="22"/>
      <c r="J25" s="20" t="s">
        <v>46</v>
      </c>
      <c r="K25" s="20"/>
      <c r="L25" s="21"/>
      <c r="M25" s="23" t="s">
        <v>47</v>
      </c>
      <c r="N25" s="23"/>
      <c r="O25" s="23" t="s">
        <v>47</v>
      </c>
      <c r="P25" s="23"/>
      <c r="Q25" s="24" t="s">
        <v>46</v>
      </c>
      <c r="R25" s="25" t="s">
        <v>46</v>
      </c>
      <c r="S25" s="26">
        <f t="shared" si="1"/>
        <v>-154</v>
      </c>
      <c r="T25" s="27">
        <f t="shared" si="2"/>
        <v>-159</v>
      </c>
      <c r="U25" s="85"/>
      <c r="V25" s="86"/>
    </row>
    <row r="26" spans="1:22" ht="16.5">
      <c r="A26" s="19" t="s">
        <v>15</v>
      </c>
      <c r="B26" s="92">
        <v>520</v>
      </c>
      <c r="C26" s="20" t="s">
        <v>46</v>
      </c>
      <c r="D26" s="21">
        <f t="shared" si="3"/>
        <v>-6</v>
      </c>
      <c r="E26" s="20" t="s">
        <v>46</v>
      </c>
      <c r="F26" s="20"/>
      <c r="G26" s="20" t="s">
        <v>46</v>
      </c>
      <c r="H26" s="97">
        <v>6.2</v>
      </c>
      <c r="I26" s="39"/>
      <c r="J26" s="20" t="s">
        <v>46</v>
      </c>
      <c r="K26" s="20"/>
      <c r="L26" s="21"/>
      <c r="M26" s="23" t="s">
        <v>47</v>
      </c>
      <c r="N26" s="23"/>
      <c r="O26" s="23" t="s">
        <v>47</v>
      </c>
      <c r="P26" s="23"/>
      <c r="Q26" s="24" t="s">
        <v>46</v>
      </c>
      <c r="R26" s="25" t="s">
        <v>46</v>
      </c>
      <c r="S26" s="26">
        <f t="shared" si="1"/>
        <v>-191</v>
      </c>
      <c r="T26" s="27">
        <f t="shared" si="2"/>
        <v>-197</v>
      </c>
      <c r="U26" s="85"/>
      <c r="V26" s="86"/>
    </row>
    <row r="27" spans="1:22" ht="16.5">
      <c r="A27" s="19" t="s">
        <v>16</v>
      </c>
      <c r="B27" s="92">
        <v>753</v>
      </c>
      <c r="C27" s="20" t="s">
        <v>46</v>
      </c>
      <c r="D27" s="21">
        <f t="shared" si="3"/>
        <v>-9</v>
      </c>
      <c r="E27" s="20" t="s">
        <v>46</v>
      </c>
      <c r="F27" s="20"/>
      <c r="G27" s="29" t="s">
        <v>46</v>
      </c>
      <c r="H27" s="100"/>
      <c r="I27" s="39"/>
      <c r="J27" s="29" t="s">
        <v>46</v>
      </c>
      <c r="K27" s="29"/>
      <c r="L27" s="47"/>
      <c r="M27" s="23" t="s">
        <v>47</v>
      </c>
      <c r="N27" s="23"/>
      <c r="O27" s="23" t="s">
        <v>47</v>
      </c>
      <c r="P27" s="23"/>
      <c r="Q27" s="24" t="s">
        <v>46</v>
      </c>
      <c r="R27" s="25" t="s">
        <v>46</v>
      </c>
      <c r="S27" s="26">
        <f t="shared" si="1"/>
        <v>-277</v>
      </c>
      <c r="T27" s="27">
        <f t="shared" si="2"/>
        <v>-286</v>
      </c>
      <c r="U27" s="85"/>
      <c r="V27" s="86"/>
    </row>
    <row r="28" spans="1:22" ht="16.5">
      <c r="A28" s="19" t="s">
        <v>17</v>
      </c>
      <c r="B28" s="92">
        <v>338</v>
      </c>
      <c r="C28" s="20" t="s">
        <v>46</v>
      </c>
      <c r="D28" s="21">
        <f t="shared" si="3"/>
        <v>-4</v>
      </c>
      <c r="E28" s="20" t="s">
        <v>46</v>
      </c>
      <c r="F28" s="20"/>
      <c r="G28" s="20" t="s">
        <v>46</v>
      </c>
      <c r="H28" s="97">
        <v>5</v>
      </c>
      <c r="I28" s="39"/>
      <c r="J28" s="20" t="s">
        <v>46</v>
      </c>
      <c r="K28" s="20"/>
      <c r="L28" s="21"/>
      <c r="M28" s="23" t="s">
        <v>47</v>
      </c>
      <c r="N28" s="23"/>
      <c r="O28" s="23" t="s">
        <v>47</v>
      </c>
      <c r="P28" s="23"/>
      <c r="Q28" s="24" t="s">
        <v>46</v>
      </c>
      <c r="R28" s="25" t="s">
        <v>46</v>
      </c>
      <c r="S28" s="26">
        <f t="shared" si="1"/>
        <v>-124</v>
      </c>
      <c r="T28" s="27">
        <f t="shared" si="2"/>
        <v>-128</v>
      </c>
      <c r="U28" s="85"/>
      <c r="V28" s="86"/>
    </row>
    <row r="29" spans="1:22" ht="16.5">
      <c r="A29" s="19" t="s">
        <v>18</v>
      </c>
      <c r="B29" s="92">
        <v>354</v>
      </c>
      <c r="C29" s="20" t="s">
        <v>46</v>
      </c>
      <c r="D29" s="21">
        <f t="shared" si="3"/>
        <v>-4</v>
      </c>
      <c r="E29" s="20" t="s">
        <v>46</v>
      </c>
      <c r="F29" s="20"/>
      <c r="G29" s="20" t="s">
        <v>46</v>
      </c>
      <c r="H29" s="97"/>
      <c r="I29" s="22"/>
      <c r="J29" s="20" t="s">
        <v>46</v>
      </c>
      <c r="K29" s="20"/>
      <c r="L29" s="21"/>
      <c r="M29" s="23" t="s">
        <v>47</v>
      </c>
      <c r="N29" s="23"/>
      <c r="O29" s="23" t="s">
        <v>47</v>
      </c>
      <c r="P29" s="23"/>
      <c r="Q29" s="24" t="s">
        <v>46</v>
      </c>
      <c r="R29" s="25" t="s">
        <v>46</v>
      </c>
      <c r="S29" s="26">
        <f t="shared" si="1"/>
        <v>-130</v>
      </c>
      <c r="T29" s="27">
        <f t="shared" si="2"/>
        <v>-134</v>
      </c>
      <c r="U29" s="85"/>
      <c r="V29" s="86"/>
    </row>
    <row r="30" spans="1:22" ht="16.5">
      <c r="A30" s="19" t="s">
        <v>19</v>
      </c>
      <c r="B30" s="92">
        <v>58</v>
      </c>
      <c r="C30" s="23" t="s">
        <v>47</v>
      </c>
      <c r="D30" s="28"/>
      <c r="E30" s="23" t="s">
        <v>47</v>
      </c>
      <c r="F30" s="23"/>
      <c r="G30" s="23" t="s">
        <v>47</v>
      </c>
      <c r="H30" s="99"/>
      <c r="I30" s="81"/>
      <c r="J30" s="23" t="s">
        <v>47</v>
      </c>
      <c r="K30" s="23"/>
      <c r="L30" s="28"/>
      <c r="M30" s="23" t="s">
        <v>47</v>
      </c>
      <c r="N30" s="23"/>
      <c r="O30" s="23" t="s">
        <v>47</v>
      </c>
      <c r="P30" s="23"/>
      <c r="Q30" s="24" t="s">
        <v>46</v>
      </c>
      <c r="R30" s="25" t="s">
        <v>46</v>
      </c>
      <c r="S30" s="26">
        <f t="shared" si="1"/>
        <v>-21</v>
      </c>
      <c r="T30" s="27">
        <f t="shared" si="2"/>
        <v>-21</v>
      </c>
      <c r="U30" s="85"/>
      <c r="V30" s="86"/>
    </row>
    <row r="31" spans="1:22" ht="16.5">
      <c r="A31" s="19" t="s">
        <v>20</v>
      </c>
      <c r="B31" s="92">
        <v>2303</v>
      </c>
      <c r="C31" s="20" t="s">
        <v>46</v>
      </c>
      <c r="D31" s="21">
        <f>ROUND($D$9/$B$40*B31,0)</f>
        <v>-29</v>
      </c>
      <c r="E31" s="82" t="s">
        <v>47</v>
      </c>
      <c r="F31" s="82"/>
      <c r="G31" s="82" t="s">
        <v>47</v>
      </c>
      <c r="H31" s="100"/>
      <c r="I31" s="83"/>
      <c r="J31" s="20" t="s">
        <v>46</v>
      </c>
      <c r="K31" s="20">
        <v>5</v>
      </c>
      <c r="L31" s="21">
        <v>-299</v>
      </c>
      <c r="M31" s="23" t="s">
        <v>47</v>
      </c>
      <c r="N31" s="23"/>
      <c r="O31" s="23" t="s">
        <v>47</v>
      </c>
      <c r="P31" s="23"/>
      <c r="Q31" s="24" t="s">
        <v>46</v>
      </c>
      <c r="R31" s="25" t="s">
        <v>46</v>
      </c>
      <c r="S31" s="26">
        <f t="shared" si="1"/>
        <v>-846</v>
      </c>
      <c r="T31" s="27">
        <f t="shared" si="2"/>
        <v>-1174</v>
      </c>
      <c r="U31" s="85"/>
      <c r="V31" s="86"/>
    </row>
    <row r="32" spans="1:22" ht="16.5">
      <c r="A32" s="19" t="s">
        <v>21</v>
      </c>
      <c r="B32" s="92">
        <v>159</v>
      </c>
      <c r="C32" s="20" t="s">
        <v>46</v>
      </c>
      <c r="D32" s="21">
        <f>ROUND($D$9/$B$40*B32,0)</f>
        <v>-2</v>
      </c>
      <c r="E32" s="20" t="s">
        <v>46</v>
      </c>
      <c r="F32" s="20"/>
      <c r="G32" s="20" t="s">
        <v>46</v>
      </c>
      <c r="H32" s="97"/>
      <c r="I32" s="22"/>
      <c r="J32" s="20" t="s">
        <v>46</v>
      </c>
      <c r="K32" s="20"/>
      <c r="L32" s="21"/>
      <c r="M32" s="23" t="s">
        <v>47</v>
      </c>
      <c r="N32" s="23"/>
      <c r="O32" s="23" t="s">
        <v>47</v>
      </c>
      <c r="P32" s="23"/>
      <c r="Q32" s="24" t="s">
        <v>46</v>
      </c>
      <c r="R32" s="25" t="s">
        <v>46</v>
      </c>
      <c r="S32" s="26">
        <f t="shared" si="1"/>
        <v>-58</v>
      </c>
      <c r="T32" s="27">
        <f t="shared" si="2"/>
        <v>-60</v>
      </c>
      <c r="U32" s="85"/>
      <c r="V32" s="86"/>
    </row>
    <row r="33" spans="1:23" ht="16.5">
      <c r="A33" s="19" t="s">
        <v>22</v>
      </c>
      <c r="B33" s="92">
        <v>1374</v>
      </c>
      <c r="C33" s="20" t="s">
        <v>46</v>
      </c>
      <c r="D33" s="21">
        <f>ROUND($D$9/$B$40*B33,0)</f>
        <v>-17</v>
      </c>
      <c r="E33" s="20" t="s">
        <v>46</v>
      </c>
      <c r="F33" s="20"/>
      <c r="G33" s="20" t="s">
        <v>46</v>
      </c>
      <c r="H33" s="97">
        <v>8</v>
      </c>
      <c r="I33" s="39"/>
      <c r="J33" s="20" t="s">
        <v>46</v>
      </c>
      <c r="K33" s="20">
        <v>3</v>
      </c>
      <c r="L33" s="21">
        <v>-55</v>
      </c>
      <c r="M33" s="23" t="s">
        <v>47</v>
      </c>
      <c r="N33" s="23"/>
      <c r="O33" s="23" t="s">
        <v>47</v>
      </c>
      <c r="P33" s="23"/>
      <c r="Q33" s="24" t="s">
        <v>46</v>
      </c>
      <c r="R33" s="25" t="s">
        <v>46</v>
      </c>
      <c r="S33" s="26">
        <f t="shared" si="1"/>
        <v>-505</v>
      </c>
      <c r="T33" s="27">
        <f t="shared" si="2"/>
        <v>-577</v>
      </c>
      <c r="U33" s="85"/>
      <c r="V33" s="86"/>
    </row>
    <row r="34" spans="1:23" ht="16.5">
      <c r="A34" s="19" t="s">
        <v>23</v>
      </c>
      <c r="B34" s="92">
        <v>823</v>
      </c>
      <c r="C34" s="20" t="s">
        <v>46</v>
      </c>
      <c r="D34" s="21">
        <f>ROUND($D$9/$B$40*B34,0)</f>
        <v>-10</v>
      </c>
      <c r="E34" s="82" t="s">
        <v>47</v>
      </c>
      <c r="F34" s="82"/>
      <c r="G34" s="82" t="s">
        <v>47</v>
      </c>
      <c r="H34" s="100"/>
      <c r="I34" s="83"/>
      <c r="J34" s="20" t="s">
        <v>46</v>
      </c>
      <c r="K34" s="20">
        <v>2</v>
      </c>
      <c r="L34" s="21">
        <v>-117</v>
      </c>
      <c r="M34" s="23" t="s">
        <v>47</v>
      </c>
      <c r="N34" s="23"/>
      <c r="O34" s="23" t="s">
        <v>47</v>
      </c>
      <c r="P34" s="23"/>
      <c r="Q34" s="24" t="s">
        <v>46</v>
      </c>
      <c r="R34" s="25" t="s">
        <v>46</v>
      </c>
      <c r="S34" s="26">
        <f t="shared" si="1"/>
        <v>-302</v>
      </c>
      <c r="T34" s="27">
        <f t="shared" si="2"/>
        <v>-429</v>
      </c>
      <c r="U34" s="85"/>
      <c r="V34" s="86"/>
    </row>
    <row r="35" spans="1:23" ht="16.5">
      <c r="A35" s="19" t="s">
        <v>24</v>
      </c>
      <c r="B35" s="92">
        <v>299</v>
      </c>
      <c r="C35" s="20" t="s">
        <v>46</v>
      </c>
      <c r="D35" s="21">
        <f>ROUND($D$9/$B$40*B35,0)</f>
        <v>-4</v>
      </c>
      <c r="E35" s="20" t="s">
        <v>46</v>
      </c>
      <c r="F35" s="20"/>
      <c r="G35" s="20" t="s">
        <v>46</v>
      </c>
      <c r="H35" s="97"/>
      <c r="I35" s="22"/>
      <c r="J35" s="20" t="s">
        <v>46</v>
      </c>
      <c r="K35" s="20"/>
      <c r="L35" s="21"/>
      <c r="M35" s="23" t="s">
        <v>47</v>
      </c>
      <c r="N35" s="23"/>
      <c r="O35" s="23" t="s">
        <v>47</v>
      </c>
      <c r="P35" s="23"/>
      <c r="Q35" s="24" t="s">
        <v>46</v>
      </c>
      <c r="R35" s="25" t="s">
        <v>46</v>
      </c>
      <c r="S35" s="26">
        <f t="shared" si="1"/>
        <v>-110</v>
      </c>
      <c r="T35" s="27">
        <f t="shared" si="2"/>
        <v>-114</v>
      </c>
      <c r="U35" s="85"/>
      <c r="V35" s="86"/>
    </row>
    <row r="36" spans="1:23" ht="16.5">
      <c r="A36" s="30" t="s">
        <v>25</v>
      </c>
      <c r="B36" s="93">
        <v>2029</v>
      </c>
      <c r="C36" s="23" t="s">
        <v>47</v>
      </c>
      <c r="D36" s="28"/>
      <c r="E36" s="23" t="s">
        <v>47</v>
      </c>
      <c r="F36" s="23"/>
      <c r="G36" s="23" t="s">
        <v>47</v>
      </c>
      <c r="H36" s="99"/>
      <c r="I36" s="81"/>
      <c r="J36" s="23" t="s">
        <v>47</v>
      </c>
      <c r="K36" s="23"/>
      <c r="L36" s="28"/>
      <c r="M36" s="23" t="s">
        <v>47</v>
      </c>
      <c r="N36" s="23"/>
      <c r="O36" s="23" t="s">
        <v>47</v>
      </c>
      <c r="P36" s="23"/>
      <c r="Q36" s="24" t="s">
        <v>46</v>
      </c>
      <c r="R36" s="25" t="s">
        <v>46</v>
      </c>
      <c r="S36" s="26">
        <f t="shared" si="1"/>
        <v>-745</v>
      </c>
      <c r="T36" s="27">
        <f>D36+F36+I36+L36+S36</f>
        <v>-745</v>
      </c>
      <c r="U36" s="87"/>
      <c r="V36" s="86"/>
    </row>
    <row r="37" spans="1:23" ht="15.75">
      <c r="A37" s="31" t="s">
        <v>26</v>
      </c>
      <c r="B37" s="32">
        <f>SUM(B12:B36)</f>
        <v>30735</v>
      </c>
      <c r="C37" s="33">
        <v>21</v>
      </c>
      <c r="D37" s="34">
        <f>SUM(D12:D36)</f>
        <v>-339</v>
      </c>
      <c r="E37" s="35">
        <v>19</v>
      </c>
      <c r="F37" s="35">
        <f>SUM(F12:F36)</f>
        <v>1845</v>
      </c>
      <c r="G37" s="35">
        <v>18</v>
      </c>
      <c r="H37" s="95">
        <f>SUM(H12:H36)</f>
        <v>62.000000000000007</v>
      </c>
      <c r="I37" s="96">
        <f>SUM(I12:I36)</f>
        <v>-17146</v>
      </c>
      <c r="J37" s="105">
        <v>21</v>
      </c>
      <c r="K37" s="105">
        <f>SUM(K12:K36)</f>
        <v>80</v>
      </c>
      <c r="L37" s="106">
        <f>SUM(L12:L36)</f>
        <v>-4785</v>
      </c>
      <c r="M37" s="35"/>
      <c r="N37" s="35">
        <f>SUM(N12:N36)</f>
        <v>-9562</v>
      </c>
      <c r="O37" s="35"/>
      <c r="P37" s="36">
        <f>SUM(P12:P36)</f>
        <v>-2282</v>
      </c>
      <c r="Q37" s="37">
        <v>25</v>
      </c>
      <c r="R37" s="37">
        <v>25</v>
      </c>
      <c r="S37" s="38">
        <f>SUM(S12:S36)</f>
        <v>-11289</v>
      </c>
      <c r="T37" s="108">
        <f>SUM(T12:T36)</f>
        <v>-43558</v>
      </c>
      <c r="U37" s="101"/>
      <c r="V37" s="86">
        <v>0</v>
      </c>
    </row>
    <row r="38" spans="1:23">
      <c r="I38" s="57"/>
      <c r="V38" s="40"/>
      <c r="W38" s="40"/>
    </row>
    <row r="39" spans="1:23">
      <c r="A39" s="41"/>
      <c r="D39" s="60" t="s">
        <v>86</v>
      </c>
      <c r="T39" s="52"/>
    </row>
    <row r="40" spans="1:23">
      <c r="A40" s="41"/>
      <c r="B40" s="48">
        <f>B37-B17-B30-B36-B22</f>
        <v>27307</v>
      </c>
      <c r="C40" s="48"/>
      <c r="D40" s="109"/>
      <c r="S40" s="60"/>
    </row>
    <row r="41" spans="1:23">
      <c r="A41" s="41"/>
      <c r="B41" s="43"/>
      <c r="C41" s="43"/>
      <c r="D41" s="110"/>
      <c r="S41" s="111"/>
    </row>
    <row r="42" spans="1:23">
      <c r="A42" s="41"/>
      <c r="B42" s="43"/>
      <c r="C42" s="43"/>
      <c r="D42" s="110"/>
      <c r="S42" s="111"/>
    </row>
    <row r="43" spans="1:23">
      <c r="A43" s="41"/>
      <c r="B43" s="43"/>
      <c r="C43" s="43"/>
      <c r="D43" s="110"/>
      <c r="S43" s="111"/>
    </row>
    <row r="44" spans="1:23">
      <c r="A44" s="41"/>
      <c r="B44" s="43"/>
      <c r="C44" s="43"/>
      <c r="D44" s="110"/>
      <c r="S44" s="111"/>
    </row>
    <row r="45" spans="1:23">
      <c r="A45" s="41"/>
      <c r="B45" s="43"/>
      <c r="C45" s="43"/>
      <c r="D45" s="110"/>
      <c r="S45" s="111"/>
    </row>
    <row r="46" spans="1:23">
      <c r="A46" s="49"/>
      <c r="B46" s="43"/>
      <c r="C46" s="43"/>
      <c r="D46" s="110"/>
      <c r="S46" s="111"/>
    </row>
    <row r="47" spans="1:23">
      <c r="A47" s="41"/>
      <c r="B47" s="43"/>
      <c r="C47" s="43"/>
      <c r="D47" s="110"/>
      <c r="S47" s="111"/>
    </row>
    <row r="48" spans="1:23">
      <c r="A48" s="41"/>
      <c r="B48" s="43"/>
      <c r="C48" s="43"/>
      <c r="D48" s="110"/>
      <c r="S48" s="111"/>
    </row>
    <row r="49" spans="1:19">
      <c r="A49" s="41"/>
      <c r="B49" s="43"/>
      <c r="C49" s="43"/>
      <c r="D49" s="110"/>
      <c r="S49" s="111"/>
    </row>
    <row r="50" spans="1:19">
      <c r="A50" s="41"/>
      <c r="B50" s="43"/>
      <c r="C50" s="43"/>
      <c r="D50" s="110"/>
      <c r="S50" s="111"/>
    </row>
    <row r="51" spans="1:19">
      <c r="A51" s="41"/>
      <c r="B51" s="43"/>
      <c r="C51" s="43"/>
      <c r="D51" s="110"/>
      <c r="S51" s="111"/>
    </row>
    <row r="52" spans="1:19">
      <c r="A52" s="41"/>
      <c r="B52" s="43"/>
      <c r="C52" s="43"/>
      <c r="D52" s="110"/>
      <c r="S52" s="111"/>
    </row>
    <row r="53" spans="1:19">
      <c r="A53" s="41"/>
      <c r="B53" s="43"/>
      <c r="C53" s="43"/>
      <c r="D53" s="110"/>
      <c r="S53" s="111"/>
    </row>
    <row r="54" spans="1:19">
      <c r="A54" s="41"/>
      <c r="B54" s="43"/>
      <c r="C54" s="43"/>
      <c r="D54" s="110"/>
      <c r="S54" s="111"/>
    </row>
    <row r="55" spans="1:19">
      <c r="A55" s="41"/>
      <c r="B55" s="43"/>
      <c r="C55" s="43"/>
      <c r="D55" s="110"/>
      <c r="S55" s="111"/>
    </row>
    <row r="56" spans="1:19">
      <c r="A56" s="41"/>
      <c r="B56" s="43"/>
      <c r="C56" s="43"/>
      <c r="D56" s="110"/>
      <c r="S56" s="111"/>
    </row>
    <row r="57" spans="1:19">
      <c r="A57" s="41"/>
      <c r="B57" s="43"/>
      <c r="C57" s="43"/>
      <c r="D57" s="110"/>
      <c r="S57" s="111"/>
    </row>
    <row r="58" spans="1:19">
      <c r="A58" s="41"/>
      <c r="B58" s="43"/>
      <c r="C58" s="43"/>
      <c r="D58" s="110"/>
      <c r="S58" s="111"/>
    </row>
    <row r="59" spans="1:19">
      <c r="A59" s="41"/>
      <c r="B59" s="43"/>
      <c r="C59" s="43"/>
      <c r="D59" s="110"/>
      <c r="S59" s="111"/>
    </row>
    <row r="60" spans="1:19">
      <c r="A60" s="41"/>
      <c r="B60" s="43"/>
      <c r="C60" s="43"/>
      <c r="D60" s="110"/>
      <c r="S60" s="111"/>
    </row>
    <row r="61" spans="1:19">
      <c r="A61" s="41"/>
      <c r="B61" s="43"/>
      <c r="C61" s="43"/>
      <c r="D61" s="110"/>
      <c r="S61" s="111"/>
    </row>
    <row r="62" spans="1:19">
      <c r="A62" s="41"/>
      <c r="B62" s="43"/>
      <c r="C62" s="43"/>
      <c r="D62" s="110"/>
      <c r="S62" s="111"/>
    </row>
    <row r="63" spans="1:19">
      <c r="A63" s="41"/>
      <c r="B63" s="43"/>
      <c r="C63" s="43"/>
      <c r="D63" s="110"/>
      <c r="S63" s="111"/>
    </row>
    <row r="64" spans="1:19">
      <c r="A64" s="41"/>
      <c r="B64" s="43"/>
      <c r="C64" s="43"/>
      <c r="D64" s="43"/>
      <c r="S64" s="111"/>
    </row>
    <row r="65" spans="1:19">
      <c r="A65" s="41"/>
      <c r="B65" s="43"/>
      <c r="C65" s="43"/>
      <c r="D65" s="43"/>
      <c r="S65" s="111"/>
    </row>
    <row r="66" spans="1:19">
      <c r="A66" s="44"/>
      <c r="B66" s="43"/>
      <c r="C66" s="43"/>
      <c r="D66" s="43"/>
      <c r="S66" s="111"/>
    </row>
    <row r="67" spans="1:19">
      <c r="D67" s="43"/>
    </row>
  </sheetData>
  <mergeCells count="3">
    <mergeCell ref="A1:U1"/>
    <mergeCell ref="U10:U11"/>
    <mergeCell ref="V10:V11"/>
  </mergeCells>
  <phoneticPr fontId="0" type="noConversion"/>
  <pageMargins left="0.7" right="0.7" top="0.75" bottom="0.75" header="0.3" footer="0.3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Házis.kiadás arányos feloszt.</vt:lpstr>
      <vt:lpstr>Jelzőrendsz.</vt:lpstr>
      <vt:lpstr>Tagok3.</vt:lpstr>
      <vt:lpstr>Jelzőrendsz.!Nyomtatási_terület</vt:lpstr>
      <vt:lpstr>Tagok3.!Nyomtatási_terület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asp02</dc:creator>
  <cp:lastModifiedBy>Polgármester</cp:lastModifiedBy>
  <cp:lastPrinted>2020-01-27T12:42:04Z</cp:lastPrinted>
  <dcterms:created xsi:type="dcterms:W3CDTF">2018-01-22T06:46:51Z</dcterms:created>
  <dcterms:modified xsi:type="dcterms:W3CDTF">2020-03-09T09:42:04Z</dcterms:modified>
</cp:coreProperties>
</file>